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G:\.shortcut-targets-by-id\1w0rtdB5eC4cyL_q3LU5DHrwaibLqkYmG\GP DISK\Brigádníci\Kopecký Petr\2024\TS Kroměříž\Oprava garáží\03_Vypracování\DPS\V_Výkaz výměr\"/>
    </mc:Choice>
  </mc:AlternateContent>
  <xr:revisionPtr revIDLastSave="0" documentId="13_ncr:1_{3FE7AECD-EF4F-42FD-8BD3-4460408CEABB}" xr6:coauthVersionLast="47" xr6:coauthVersionMax="47" xr10:uidLastSave="{00000000-0000-0000-0000-000000000000}"/>
  <bookViews>
    <workbookView xWindow="-108" yWindow="-108" windowWidth="23256" windowHeight="12456" activeTab="2" xr2:uid="{00000000-000D-0000-FFFF-FFFF00000000}"/>
  </bookViews>
  <sheets>
    <sheet name="Krycí list rozpočtu" sheetId="3" r:id="rId1"/>
    <sheet name="Stavební rozpočet - součet" sheetId="2" r:id="rId2"/>
    <sheet name="Stavební rozpočet" sheetId="1" r:id="rId3"/>
    <sheet name="VORN" sheetId="4" state="hidden" r:id="rId4"/>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4" l="1"/>
  <c r="I44" i="4" s="1"/>
  <c r="F43" i="4"/>
  <c r="I43" i="4" s="1"/>
  <c r="F42" i="4"/>
  <c r="I42" i="4" s="1"/>
  <c r="F41" i="4"/>
  <c r="I41" i="4" s="1"/>
  <c r="F40" i="4"/>
  <c r="I40" i="4" s="1"/>
  <c r="F39" i="4"/>
  <c r="I39" i="4" s="1"/>
  <c r="F38" i="4"/>
  <c r="I38" i="4" s="1"/>
  <c r="F36" i="4"/>
  <c r="I36" i="4" s="1"/>
  <c r="F35" i="4"/>
  <c r="I35" i="4" s="1"/>
  <c r="I26" i="4"/>
  <c r="I19" i="3" s="1"/>
  <c r="I25" i="4"/>
  <c r="I18" i="3" s="1"/>
  <c r="I24" i="4"/>
  <c r="I17" i="3" s="1"/>
  <c r="I23" i="4"/>
  <c r="I16" i="3" s="1"/>
  <c r="I22" i="4"/>
  <c r="I21" i="4"/>
  <c r="I14" i="3" s="1"/>
  <c r="I17" i="4"/>
  <c r="I16" i="4"/>
  <c r="F15" i="3" s="1"/>
  <c r="I15" i="4"/>
  <c r="I10" i="4"/>
  <c r="F10" i="4"/>
  <c r="C10" i="4"/>
  <c r="F8" i="4"/>
  <c r="C8" i="4"/>
  <c r="F6" i="4"/>
  <c r="C6" i="4"/>
  <c r="F4" i="4"/>
  <c r="C4" i="4"/>
  <c r="F2" i="4"/>
  <c r="C2" i="4"/>
  <c r="F16" i="3"/>
  <c r="I15" i="3"/>
  <c r="F14" i="3"/>
  <c r="I10" i="3"/>
  <c r="F10" i="3"/>
  <c r="C10" i="3"/>
  <c r="F8" i="3"/>
  <c r="C8" i="3"/>
  <c r="F6" i="3"/>
  <c r="C6" i="3"/>
  <c r="F4" i="3"/>
  <c r="C4" i="3"/>
  <c r="F2" i="3"/>
  <c r="C2" i="3"/>
  <c r="I68" i="2"/>
  <c r="I67" i="2"/>
  <c r="I54" i="2"/>
  <c r="I28" i="2"/>
  <c r="I11" i="2"/>
  <c r="G8" i="2"/>
  <c r="C8" i="2"/>
  <c r="G6" i="2"/>
  <c r="C6" i="2"/>
  <c r="G4" i="2"/>
  <c r="C4" i="2"/>
  <c r="G2" i="2"/>
  <c r="C2" i="2"/>
  <c r="BO722" i="1"/>
  <c r="BJ722" i="1"/>
  <c r="BF722" i="1"/>
  <c r="BD722" i="1"/>
  <c r="AX722" i="1"/>
  <c r="AP722" i="1"/>
  <c r="BI722" i="1" s="1"/>
  <c r="AO722" i="1"/>
  <c r="AW722" i="1" s="1"/>
  <c r="AK722" i="1"/>
  <c r="AJ722" i="1"/>
  <c r="AH722" i="1"/>
  <c r="AG722" i="1"/>
  <c r="AF722" i="1"/>
  <c r="AE722" i="1"/>
  <c r="AD722" i="1"/>
  <c r="AC722" i="1"/>
  <c r="AB722" i="1"/>
  <c r="Z722" i="1"/>
  <c r="J722" i="1"/>
  <c r="AL722" i="1" s="1"/>
  <c r="BO721" i="1"/>
  <c r="BJ721" i="1"/>
  <c r="BF721" i="1"/>
  <c r="BD721" i="1"/>
  <c r="AP721" i="1"/>
  <c r="AX721" i="1" s="1"/>
  <c r="AO721" i="1"/>
  <c r="BH721" i="1" s="1"/>
  <c r="AL721" i="1"/>
  <c r="AK721" i="1"/>
  <c r="AJ721" i="1"/>
  <c r="AH721" i="1"/>
  <c r="AG721" i="1"/>
  <c r="AF721" i="1"/>
  <c r="AE721" i="1"/>
  <c r="AD721" i="1"/>
  <c r="AC721" i="1"/>
  <c r="AB721" i="1"/>
  <c r="Z721" i="1"/>
  <c r="J721" i="1"/>
  <c r="BO720" i="1"/>
  <c r="BJ720" i="1"/>
  <c r="BF720" i="1"/>
  <c r="BD720" i="1"/>
  <c r="AX720" i="1"/>
  <c r="AP720" i="1"/>
  <c r="I720" i="1" s="1"/>
  <c r="AO720" i="1"/>
  <c r="BH720" i="1" s="1"/>
  <c r="AK720" i="1"/>
  <c r="AJ720" i="1"/>
  <c r="AH720" i="1"/>
  <c r="AG720" i="1"/>
  <c r="AF720" i="1"/>
  <c r="AE720" i="1"/>
  <c r="AD720" i="1"/>
  <c r="AC720" i="1"/>
  <c r="AB720" i="1"/>
  <c r="Z720" i="1"/>
  <c r="J720" i="1"/>
  <c r="AL720" i="1" s="1"/>
  <c r="BO719" i="1"/>
  <c r="BJ719" i="1"/>
  <c r="BF719" i="1"/>
  <c r="BD719" i="1"/>
  <c r="AP719" i="1"/>
  <c r="BI719" i="1" s="1"/>
  <c r="AO719" i="1"/>
  <c r="BH719" i="1" s="1"/>
  <c r="AL719" i="1"/>
  <c r="AK719" i="1"/>
  <c r="AJ719" i="1"/>
  <c r="AH719" i="1"/>
  <c r="AG719" i="1"/>
  <c r="AF719" i="1"/>
  <c r="AE719" i="1"/>
  <c r="AD719" i="1"/>
  <c r="AC719" i="1"/>
  <c r="AB719" i="1"/>
  <c r="Z719" i="1"/>
  <c r="J719" i="1"/>
  <c r="BO718" i="1"/>
  <c r="BJ718" i="1"/>
  <c r="BF718" i="1"/>
  <c r="BD718" i="1"/>
  <c r="AP718" i="1"/>
  <c r="BI718" i="1" s="1"/>
  <c r="AO718" i="1"/>
  <c r="AW718" i="1" s="1"/>
  <c r="AK718" i="1"/>
  <c r="AJ718" i="1"/>
  <c r="AH718" i="1"/>
  <c r="AG718" i="1"/>
  <c r="AF718" i="1"/>
  <c r="AE718" i="1"/>
  <c r="AD718" i="1"/>
  <c r="AC718" i="1"/>
  <c r="AB718" i="1"/>
  <c r="Z718" i="1"/>
  <c r="J718" i="1"/>
  <c r="AL718" i="1" s="1"/>
  <c r="I718" i="1"/>
  <c r="BO717" i="1"/>
  <c r="BJ717" i="1"/>
  <c r="BF717" i="1"/>
  <c r="BD717" i="1"/>
  <c r="AP717" i="1"/>
  <c r="AX717" i="1" s="1"/>
  <c r="AO717" i="1"/>
  <c r="BH717" i="1" s="1"/>
  <c r="AK717" i="1"/>
  <c r="AJ717" i="1"/>
  <c r="AH717" i="1"/>
  <c r="AG717" i="1"/>
  <c r="AF717" i="1"/>
  <c r="AE717" i="1"/>
  <c r="AD717" i="1"/>
  <c r="AC717" i="1"/>
  <c r="AB717" i="1"/>
  <c r="Z717" i="1"/>
  <c r="J717" i="1"/>
  <c r="AL717" i="1" s="1"/>
  <c r="H717" i="1"/>
  <c r="BO716" i="1"/>
  <c r="BJ716" i="1"/>
  <c r="BF716" i="1"/>
  <c r="BD716" i="1"/>
  <c r="AP716" i="1"/>
  <c r="AO716" i="1"/>
  <c r="BH716" i="1" s="1"/>
  <c r="AK716" i="1"/>
  <c r="AJ716" i="1"/>
  <c r="AH716" i="1"/>
  <c r="AG716" i="1"/>
  <c r="AF716" i="1"/>
  <c r="AE716" i="1"/>
  <c r="AD716" i="1"/>
  <c r="AC716" i="1"/>
  <c r="AB716" i="1"/>
  <c r="Z716" i="1"/>
  <c r="J716" i="1"/>
  <c r="AL716" i="1" s="1"/>
  <c r="BO715" i="1"/>
  <c r="BJ715" i="1"/>
  <c r="BF715" i="1"/>
  <c r="BD715" i="1"/>
  <c r="AP715" i="1"/>
  <c r="BI715" i="1" s="1"/>
  <c r="AO715" i="1"/>
  <c r="BH715" i="1" s="1"/>
  <c r="AL715" i="1"/>
  <c r="AK715" i="1"/>
  <c r="AJ715" i="1"/>
  <c r="AH715" i="1"/>
  <c r="AG715" i="1"/>
  <c r="AF715" i="1"/>
  <c r="AE715" i="1"/>
  <c r="AD715" i="1"/>
  <c r="AC715" i="1"/>
  <c r="AB715" i="1"/>
  <c r="Z715" i="1"/>
  <c r="J715" i="1"/>
  <c r="BO714" i="1"/>
  <c r="BJ714" i="1"/>
  <c r="BF714" i="1"/>
  <c r="BD714" i="1"/>
  <c r="AX714" i="1"/>
  <c r="AP714" i="1"/>
  <c r="BI714" i="1" s="1"/>
  <c r="AO714" i="1"/>
  <c r="AW714" i="1" s="1"/>
  <c r="AK714" i="1"/>
  <c r="AJ714" i="1"/>
  <c r="AH714" i="1"/>
  <c r="AG714" i="1"/>
  <c r="AF714" i="1"/>
  <c r="AE714" i="1"/>
  <c r="AD714" i="1"/>
  <c r="AC714" i="1"/>
  <c r="AB714" i="1"/>
  <c r="Z714" i="1"/>
  <c r="J714" i="1"/>
  <c r="AL714" i="1" s="1"/>
  <c r="I714" i="1"/>
  <c r="BO713" i="1"/>
  <c r="BJ713" i="1"/>
  <c r="BF713" i="1"/>
  <c r="BD713" i="1"/>
  <c r="AW713" i="1"/>
  <c r="AP713" i="1"/>
  <c r="AX713" i="1" s="1"/>
  <c r="BC713" i="1" s="1"/>
  <c r="AO713" i="1"/>
  <c r="BH713" i="1" s="1"/>
  <c r="AL713" i="1"/>
  <c r="AK713" i="1"/>
  <c r="AJ713" i="1"/>
  <c r="AH713" i="1"/>
  <c r="AG713" i="1"/>
  <c r="AF713" i="1"/>
  <c r="AE713" i="1"/>
  <c r="AD713" i="1"/>
  <c r="AC713" i="1"/>
  <c r="AB713" i="1"/>
  <c r="Z713" i="1"/>
  <c r="J713" i="1"/>
  <c r="BO712" i="1"/>
  <c r="BJ712" i="1"/>
  <c r="BF712" i="1"/>
  <c r="BD712" i="1"/>
  <c r="AX712" i="1"/>
  <c r="AP712" i="1"/>
  <c r="I712" i="1" s="1"/>
  <c r="AO712" i="1"/>
  <c r="BH712" i="1" s="1"/>
  <c r="AK712" i="1"/>
  <c r="AJ712" i="1"/>
  <c r="AH712" i="1"/>
  <c r="AG712" i="1"/>
  <c r="AF712" i="1"/>
  <c r="AE712" i="1"/>
  <c r="AD712" i="1"/>
  <c r="AC712" i="1"/>
  <c r="AB712" i="1"/>
  <c r="Z712" i="1"/>
  <c r="J712" i="1"/>
  <c r="AL712" i="1" s="1"/>
  <c r="BO711" i="1"/>
  <c r="BJ711" i="1"/>
  <c r="BF711" i="1"/>
  <c r="BD711" i="1"/>
  <c r="AP711" i="1"/>
  <c r="AO711" i="1"/>
  <c r="AL711" i="1"/>
  <c r="AK711" i="1"/>
  <c r="AJ711" i="1"/>
  <c r="AH711" i="1"/>
  <c r="AG711" i="1"/>
  <c r="AF711" i="1"/>
  <c r="AE711" i="1"/>
  <c r="AD711" i="1"/>
  <c r="AC711" i="1"/>
  <c r="AB711" i="1"/>
  <c r="Z711" i="1"/>
  <c r="J711" i="1"/>
  <c r="BO710" i="1"/>
  <c r="BJ710" i="1"/>
  <c r="BF710" i="1"/>
  <c r="BD710" i="1"/>
  <c r="AP710" i="1"/>
  <c r="BI710" i="1" s="1"/>
  <c r="AO710" i="1"/>
  <c r="AK710" i="1"/>
  <c r="AJ710" i="1"/>
  <c r="AH710" i="1"/>
  <c r="AG710" i="1"/>
  <c r="AF710" i="1"/>
  <c r="AE710" i="1"/>
  <c r="AD710" i="1"/>
  <c r="AC710" i="1"/>
  <c r="AB710" i="1"/>
  <c r="Z710" i="1"/>
  <c r="J710" i="1"/>
  <c r="BJ706" i="1"/>
  <c r="Z706" i="1" s="1"/>
  <c r="BI706" i="1"/>
  <c r="BF706" i="1"/>
  <c r="BD706" i="1"/>
  <c r="AP706" i="1"/>
  <c r="AO706" i="1"/>
  <c r="BH706" i="1" s="1"/>
  <c r="AK706" i="1"/>
  <c r="AJ706" i="1"/>
  <c r="AS705" i="1" s="1"/>
  <c r="AH706" i="1"/>
  <c r="AG706" i="1"/>
  <c r="AF706" i="1"/>
  <c r="AE706" i="1"/>
  <c r="AD706" i="1"/>
  <c r="AC706" i="1"/>
  <c r="AB706" i="1"/>
  <c r="J706" i="1"/>
  <c r="AL706" i="1" s="1"/>
  <c r="AU705" i="1" s="1"/>
  <c r="H706" i="1"/>
  <c r="H705" i="1" s="1"/>
  <c r="E66" i="2" s="1"/>
  <c r="AT705" i="1"/>
  <c r="BJ704" i="1"/>
  <c r="BF704" i="1"/>
  <c r="BD704" i="1"/>
  <c r="AP704" i="1"/>
  <c r="AO704" i="1"/>
  <c r="BH704" i="1" s="1"/>
  <c r="AF704" i="1" s="1"/>
  <c r="AK704" i="1"/>
  <c r="AJ704" i="1"/>
  <c r="AH704" i="1"/>
  <c r="AE704" i="1"/>
  <c r="AD704" i="1"/>
  <c r="AC704" i="1"/>
  <c r="AB704" i="1"/>
  <c r="Z704" i="1"/>
  <c r="J704" i="1"/>
  <c r="AL704" i="1" s="1"/>
  <c r="BJ703" i="1"/>
  <c r="BI703" i="1"/>
  <c r="AG703" i="1" s="1"/>
  <c r="BF703" i="1"/>
  <c r="BD703" i="1"/>
  <c r="AP703" i="1"/>
  <c r="AO703" i="1"/>
  <c r="BH703" i="1" s="1"/>
  <c r="AF703" i="1" s="1"/>
  <c r="AK703" i="1"/>
  <c r="AJ703" i="1"/>
  <c r="AH703" i="1"/>
  <c r="AE703" i="1"/>
  <c r="AD703" i="1"/>
  <c r="AC703" i="1"/>
  <c r="AB703" i="1"/>
  <c r="Z703" i="1"/>
  <c r="J703" i="1"/>
  <c r="AL703" i="1" s="1"/>
  <c r="H703" i="1"/>
  <c r="BJ702" i="1"/>
  <c r="BF702" i="1"/>
  <c r="BD702" i="1"/>
  <c r="AP702" i="1"/>
  <c r="BI702" i="1" s="1"/>
  <c r="AG702" i="1" s="1"/>
  <c r="AO702" i="1"/>
  <c r="AK702" i="1"/>
  <c r="AJ702" i="1"/>
  <c r="AH702" i="1"/>
  <c r="AE702" i="1"/>
  <c r="AD702" i="1"/>
  <c r="AC702" i="1"/>
  <c r="AB702" i="1"/>
  <c r="Z702" i="1"/>
  <c r="J702" i="1"/>
  <c r="AL702" i="1" s="1"/>
  <c r="I702" i="1"/>
  <c r="BJ701" i="1"/>
  <c r="BF701" i="1"/>
  <c r="BD701" i="1"/>
  <c r="AW701" i="1"/>
  <c r="AP701" i="1"/>
  <c r="BI701" i="1" s="1"/>
  <c r="AG701" i="1" s="1"/>
  <c r="AO701" i="1"/>
  <c r="BH701" i="1" s="1"/>
  <c r="AF701" i="1" s="1"/>
  <c r="AL701" i="1"/>
  <c r="AK701" i="1"/>
  <c r="AJ701" i="1"/>
  <c r="AH701" i="1"/>
  <c r="AE701" i="1"/>
  <c r="AD701" i="1"/>
  <c r="AC701" i="1"/>
  <c r="AB701" i="1"/>
  <c r="Z701" i="1"/>
  <c r="J701" i="1"/>
  <c r="I701" i="1"/>
  <c r="H701" i="1"/>
  <c r="BJ700" i="1"/>
  <c r="BF700" i="1"/>
  <c r="BD700" i="1"/>
  <c r="AP700" i="1"/>
  <c r="AO700" i="1"/>
  <c r="BH700" i="1" s="1"/>
  <c r="AF700" i="1" s="1"/>
  <c r="AK700" i="1"/>
  <c r="AT699" i="1" s="1"/>
  <c r="AJ700" i="1"/>
  <c r="AS699" i="1" s="1"/>
  <c r="AH700" i="1"/>
  <c r="AE700" i="1"/>
  <c r="AD700" i="1"/>
  <c r="AC700" i="1"/>
  <c r="AB700" i="1"/>
  <c r="Z700" i="1"/>
  <c r="J700" i="1"/>
  <c r="BJ698" i="1"/>
  <c r="BF698" i="1"/>
  <c r="BD698" i="1"/>
  <c r="AW698" i="1"/>
  <c r="AP698" i="1"/>
  <c r="AO698" i="1"/>
  <c r="AL698" i="1"/>
  <c r="AK698" i="1"/>
  <c r="AJ698" i="1"/>
  <c r="AH698" i="1"/>
  <c r="AE698" i="1"/>
  <c r="AD698" i="1"/>
  <c r="AC698" i="1"/>
  <c r="AB698" i="1"/>
  <c r="Z698" i="1"/>
  <c r="J698" i="1"/>
  <c r="BJ697" i="1"/>
  <c r="BF697" i="1"/>
  <c r="BD697" i="1"/>
  <c r="AP697" i="1"/>
  <c r="AX697" i="1" s="1"/>
  <c r="AO697" i="1"/>
  <c r="BH697" i="1" s="1"/>
  <c r="AF697" i="1" s="1"/>
  <c r="AK697" i="1"/>
  <c r="AJ697" i="1"/>
  <c r="AH697" i="1"/>
  <c r="AE697" i="1"/>
  <c r="AD697" i="1"/>
  <c r="AC697" i="1"/>
  <c r="AB697" i="1"/>
  <c r="Z697" i="1"/>
  <c r="J697" i="1"/>
  <c r="AL697" i="1" s="1"/>
  <c r="BJ696" i="1"/>
  <c r="BF696" i="1"/>
  <c r="BD696" i="1"/>
  <c r="AP696" i="1"/>
  <c r="BI696" i="1" s="1"/>
  <c r="AG696" i="1" s="1"/>
  <c r="AO696" i="1"/>
  <c r="AW696" i="1" s="1"/>
  <c r="AK696" i="1"/>
  <c r="AJ696" i="1"/>
  <c r="AH696" i="1"/>
  <c r="AE696" i="1"/>
  <c r="AD696" i="1"/>
  <c r="AC696" i="1"/>
  <c r="AB696" i="1"/>
  <c r="Z696" i="1"/>
  <c r="J696" i="1"/>
  <c r="AL696" i="1" s="1"/>
  <c r="BJ695" i="1"/>
  <c r="BF695" i="1"/>
  <c r="BD695" i="1"/>
  <c r="AP695" i="1"/>
  <c r="AX695" i="1" s="1"/>
  <c r="AO695" i="1"/>
  <c r="BH695" i="1" s="1"/>
  <c r="AF695" i="1" s="1"/>
  <c r="AL695" i="1"/>
  <c r="AK695" i="1"/>
  <c r="AJ695" i="1"/>
  <c r="AH695" i="1"/>
  <c r="AE695" i="1"/>
  <c r="AD695" i="1"/>
  <c r="AC695" i="1"/>
  <c r="AB695" i="1"/>
  <c r="Z695" i="1"/>
  <c r="J695" i="1"/>
  <c r="BJ694" i="1"/>
  <c r="BF694" i="1"/>
  <c r="BD694" i="1"/>
  <c r="AW694" i="1"/>
  <c r="AP694" i="1"/>
  <c r="BI694" i="1" s="1"/>
  <c r="AG694" i="1" s="1"/>
  <c r="AO694" i="1"/>
  <c r="H694" i="1" s="1"/>
  <c r="AK694" i="1"/>
  <c r="AJ694" i="1"/>
  <c r="AH694" i="1"/>
  <c r="AE694" i="1"/>
  <c r="AD694" i="1"/>
  <c r="AC694" i="1"/>
  <c r="AB694" i="1"/>
  <c r="Z694" i="1"/>
  <c r="J694" i="1"/>
  <c r="AL694" i="1" s="1"/>
  <c r="BJ693" i="1"/>
  <c r="BH693" i="1"/>
  <c r="AF693" i="1" s="1"/>
  <c r="BF693" i="1"/>
  <c r="BD693" i="1"/>
  <c r="AP693" i="1"/>
  <c r="I693" i="1" s="1"/>
  <c r="AO693" i="1"/>
  <c r="AK693" i="1"/>
  <c r="AJ693" i="1"/>
  <c r="AH693" i="1"/>
  <c r="AE693" i="1"/>
  <c r="AD693" i="1"/>
  <c r="AC693" i="1"/>
  <c r="AB693" i="1"/>
  <c r="Z693" i="1"/>
  <c r="J693" i="1"/>
  <c r="AL693" i="1" s="1"/>
  <c r="BJ692" i="1"/>
  <c r="BI692" i="1"/>
  <c r="AG692" i="1" s="1"/>
  <c r="BF692" i="1"/>
  <c r="BD692" i="1"/>
  <c r="AP692" i="1"/>
  <c r="AO692" i="1"/>
  <c r="BH692" i="1" s="1"/>
  <c r="AF692" i="1" s="1"/>
  <c r="AK692" i="1"/>
  <c r="AJ692" i="1"/>
  <c r="AH692" i="1"/>
  <c r="AE692" i="1"/>
  <c r="AD692" i="1"/>
  <c r="AC692" i="1"/>
  <c r="AB692" i="1"/>
  <c r="Z692" i="1"/>
  <c r="J692" i="1"/>
  <c r="AL692" i="1" s="1"/>
  <c r="H692" i="1"/>
  <c r="BJ691" i="1"/>
  <c r="BF691" i="1"/>
  <c r="BD691" i="1"/>
  <c r="AW691" i="1"/>
  <c r="AP691" i="1"/>
  <c r="BI691" i="1" s="1"/>
  <c r="AO691" i="1"/>
  <c r="BH691" i="1" s="1"/>
  <c r="AF691" i="1" s="1"/>
  <c r="AK691" i="1"/>
  <c r="AJ691" i="1"/>
  <c r="AH691" i="1"/>
  <c r="AG691" i="1"/>
  <c r="AE691" i="1"/>
  <c r="AD691" i="1"/>
  <c r="AC691" i="1"/>
  <c r="AB691" i="1"/>
  <c r="Z691" i="1"/>
  <c r="J691" i="1"/>
  <c r="AL691" i="1" s="1"/>
  <c r="I691" i="1"/>
  <c r="H691" i="1"/>
  <c r="BJ690" i="1"/>
  <c r="BF690" i="1"/>
  <c r="BD690" i="1"/>
  <c r="AX690" i="1"/>
  <c r="AW690" i="1"/>
  <c r="AP690" i="1"/>
  <c r="BI690" i="1" s="1"/>
  <c r="AG690" i="1" s="1"/>
  <c r="AO690" i="1"/>
  <c r="BH690" i="1" s="1"/>
  <c r="AF690" i="1" s="1"/>
  <c r="AK690" i="1"/>
  <c r="AJ690" i="1"/>
  <c r="AH690" i="1"/>
  <c r="AE690" i="1"/>
  <c r="AD690" i="1"/>
  <c r="AC690" i="1"/>
  <c r="AB690" i="1"/>
  <c r="Z690" i="1"/>
  <c r="J690" i="1"/>
  <c r="AL690" i="1" s="1"/>
  <c r="I690" i="1"/>
  <c r="BJ689" i="1"/>
  <c r="BH689" i="1"/>
  <c r="AF689" i="1" s="1"/>
  <c r="BF689" i="1"/>
  <c r="BD689" i="1"/>
  <c r="AP689" i="1"/>
  <c r="BI689" i="1" s="1"/>
  <c r="AG689" i="1" s="1"/>
  <c r="AO689" i="1"/>
  <c r="AK689" i="1"/>
  <c r="AJ689" i="1"/>
  <c r="AH689" i="1"/>
  <c r="AE689" i="1"/>
  <c r="AD689" i="1"/>
  <c r="AC689" i="1"/>
  <c r="AB689" i="1"/>
  <c r="Z689" i="1"/>
  <c r="J689" i="1"/>
  <c r="AL689" i="1" s="1"/>
  <c r="BJ688" i="1"/>
  <c r="BF688" i="1"/>
  <c r="BD688" i="1"/>
  <c r="AP688" i="1"/>
  <c r="AO688" i="1"/>
  <c r="AK688" i="1"/>
  <c r="AJ688" i="1"/>
  <c r="AH688" i="1"/>
  <c r="AE688" i="1"/>
  <c r="AD688" i="1"/>
  <c r="AC688" i="1"/>
  <c r="AB688" i="1"/>
  <c r="Z688" i="1"/>
  <c r="J688" i="1"/>
  <c r="AL688" i="1" s="1"/>
  <c r="BJ687" i="1"/>
  <c r="BF687" i="1"/>
  <c r="BD687" i="1"/>
  <c r="AW687" i="1"/>
  <c r="AP687" i="1"/>
  <c r="AO687" i="1"/>
  <c r="BH687" i="1" s="1"/>
  <c r="AF687" i="1" s="1"/>
  <c r="AK687" i="1"/>
  <c r="AJ687" i="1"/>
  <c r="AH687" i="1"/>
  <c r="AE687" i="1"/>
  <c r="AD687" i="1"/>
  <c r="AC687" i="1"/>
  <c r="AB687" i="1"/>
  <c r="Z687" i="1"/>
  <c r="J687" i="1"/>
  <c r="AL687" i="1" s="1"/>
  <c r="BJ686" i="1"/>
  <c r="BH686" i="1"/>
  <c r="AF686" i="1" s="1"/>
  <c r="BF686" i="1"/>
  <c r="BD686" i="1"/>
  <c r="AP686" i="1"/>
  <c r="BI686" i="1" s="1"/>
  <c r="AG686" i="1" s="1"/>
  <c r="AO686" i="1"/>
  <c r="AW686" i="1" s="1"/>
  <c r="AL686" i="1"/>
  <c r="AK686" i="1"/>
  <c r="AJ686" i="1"/>
  <c r="AH686" i="1"/>
  <c r="AE686" i="1"/>
  <c r="AD686" i="1"/>
  <c r="AC686" i="1"/>
  <c r="AB686" i="1"/>
  <c r="Z686" i="1"/>
  <c r="J686" i="1"/>
  <c r="I686" i="1"/>
  <c r="H686" i="1"/>
  <c r="BJ685" i="1"/>
  <c r="BF685" i="1"/>
  <c r="BD685" i="1"/>
  <c r="AP685" i="1"/>
  <c r="BI685" i="1" s="1"/>
  <c r="AG685" i="1" s="1"/>
  <c r="AO685" i="1"/>
  <c r="H685" i="1" s="1"/>
  <c r="AK685" i="1"/>
  <c r="AJ685" i="1"/>
  <c r="AH685" i="1"/>
  <c r="AE685" i="1"/>
  <c r="AD685" i="1"/>
  <c r="AC685" i="1"/>
  <c r="AB685" i="1"/>
  <c r="Z685" i="1"/>
  <c r="J685" i="1"/>
  <c r="AL685" i="1" s="1"/>
  <c r="I685" i="1"/>
  <c r="BJ684" i="1"/>
  <c r="BF684" i="1"/>
  <c r="BD684" i="1"/>
  <c r="AP684" i="1"/>
  <c r="I684" i="1" s="1"/>
  <c r="AO684" i="1"/>
  <c r="AK684" i="1"/>
  <c r="AJ684" i="1"/>
  <c r="AH684" i="1"/>
  <c r="AE684" i="1"/>
  <c r="AD684" i="1"/>
  <c r="AC684" i="1"/>
  <c r="AB684" i="1"/>
  <c r="Z684" i="1"/>
  <c r="J684" i="1"/>
  <c r="AL684" i="1" s="1"/>
  <c r="BJ683" i="1"/>
  <c r="BF683" i="1"/>
  <c r="BD683" i="1"/>
  <c r="AP683" i="1"/>
  <c r="I683" i="1" s="1"/>
  <c r="AO683" i="1"/>
  <c r="BH683" i="1" s="1"/>
  <c r="AF683" i="1" s="1"/>
  <c r="AL683" i="1"/>
  <c r="AK683" i="1"/>
  <c r="AJ683" i="1"/>
  <c r="AH683" i="1"/>
  <c r="AE683" i="1"/>
  <c r="AD683" i="1"/>
  <c r="AC683" i="1"/>
  <c r="AB683" i="1"/>
  <c r="Z683" i="1"/>
  <c r="J683" i="1"/>
  <c r="BJ682" i="1"/>
  <c r="BH682" i="1"/>
  <c r="AF682" i="1" s="1"/>
  <c r="BF682" i="1"/>
  <c r="BD682" i="1"/>
  <c r="AX682" i="1"/>
  <c r="AP682" i="1"/>
  <c r="BI682" i="1" s="1"/>
  <c r="AG682" i="1" s="1"/>
  <c r="AO682" i="1"/>
  <c r="AW682" i="1" s="1"/>
  <c r="AK682" i="1"/>
  <c r="AJ682" i="1"/>
  <c r="AH682" i="1"/>
  <c r="AE682" i="1"/>
  <c r="AD682" i="1"/>
  <c r="AC682" i="1"/>
  <c r="AB682" i="1"/>
  <c r="Z682" i="1"/>
  <c r="J682" i="1"/>
  <c r="AL682" i="1" s="1"/>
  <c r="I682" i="1"/>
  <c r="H682" i="1"/>
  <c r="BJ681" i="1"/>
  <c r="BH681" i="1"/>
  <c r="AF681" i="1" s="1"/>
  <c r="BF681" i="1"/>
  <c r="BD681" i="1"/>
  <c r="AP681" i="1"/>
  <c r="AX681" i="1" s="1"/>
  <c r="AO681" i="1"/>
  <c r="AK681" i="1"/>
  <c r="AJ681" i="1"/>
  <c r="AH681" i="1"/>
  <c r="AE681" i="1"/>
  <c r="AD681" i="1"/>
  <c r="AC681" i="1"/>
  <c r="AB681" i="1"/>
  <c r="Z681" i="1"/>
  <c r="J681" i="1"/>
  <c r="BJ680" i="1"/>
  <c r="BI680" i="1"/>
  <c r="AG680" i="1" s="1"/>
  <c r="BH680" i="1"/>
  <c r="AF680" i="1" s="1"/>
  <c r="BF680" i="1"/>
  <c r="BD680" i="1"/>
  <c r="AP680" i="1"/>
  <c r="AX680" i="1" s="1"/>
  <c r="AV680" i="1" s="1"/>
  <c r="AO680" i="1"/>
  <c r="AW680" i="1" s="1"/>
  <c r="AK680" i="1"/>
  <c r="AJ680" i="1"/>
  <c r="AH680" i="1"/>
  <c r="AE680" i="1"/>
  <c r="AD680" i="1"/>
  <c r="AC680" i="1"/>
  <c r="AB680" i="1"/>
  <c r="Z680" i="1"/>
  <c r="J680" i="1"/>
  <c r="AL680" i="1" s="1"/>
  <c r="I680" i="1"/>
  <c r="BJ679" i="1"/>
  <c r="BF679" i="1"/>
  <c r="BD679" i="1"/>
  <c r="AW679" i="1"/>
  <c r="AP679" i="1"/>
  <c r="AO679" i="1"/>
  <c r="BH679" i="1" s="1"/>
  <c r="AF679" i="1" s="1"/>
  <c r="AK679" i="1"/>
  <c r="AJ679" i="1"/>
  <c r="AH679" i="1"/>
  <c r="AE679" i="1"/>
  <c r="AD679" i="1"/>
  <c r="AC679" i="1"/>
  <c r="AB679" i="1"/>
  <c r="Z679" i="1"/>
  <c r="J679" i="1"/>
  <c r="AL679" i="1" s="1"/>
  <c r="H679" i="1"/>
  <c r="BJ678" i="1"/>
  <c r="BF678" i="1"/>
  <c r="BD678" i="1"/>
  <c r="AP678" i="1"/>
  <c r="AO678" i="1"/>
  <c r="AW678" i="1" s="1"/>
  <c r="AK678" i="1"/>
  <c r="AJ678" i="1"/>
  <c r="AH678" i="1"/>
  <c r="AE678" i="1"/>
  <c r="AD678" i="1"/>
  <c r="AC678" i="1"/>
  <c r="AB678" i="1"/>
  <c r="Z678" i="1"/>
  <c r="J678" i="1"/>
  <c r="AL678" i="1" s="1"/>
  <c r="BJ676" i="1"/>
  <c r="BH676" i="1"/>
  <c r="AF676" i="1" s="1"/>
  <c r="BF676" i="1"/>
  <c r="BD676" i="1"/>
  <c r="AP676" i="1"/>
  <c r="I676" i="1" s="1"/>
  <c r="AO676" i="1"/>
  <c r="AK676" i="1"/>
  <c r="AJ676" i="1"/>
  <c r="AH676" i="1"/>
  <c r="AE676" i="1"/>
  <c r="AD676" i="1"/>
  <c r="AC676" i="1"/>
  <c r="AB676" i="1"/>
  <c r="Z676" i="1"/>
  <c r="J676" i="1"/>
  <c r="AL676" i="1" s="1"/>
  <c r="BJ675" i="1"/>
  <c r="BI675" i="1"/>
  <c r="AG675" i="1" s="1"/>
  <c r="BF675" i="1"/>
  <c r="BD675" i="1"/>
  <c r="AP675" i="1"/>
  <c r="AO675" i="1"/>
  <c r="AW675" i="1" s="1"/>
  <c r="AK675" i="1"/>
  <c r="AJ675" i="1"/>
  <c r="AH675" i="1"/>
  <c r="AE675" i="1"/>
  <c r="AD675" i="1"/>
  <c r="AC675" i="1"/>
  <c r="AB675" i="1"/>
  <c r="Z675" i="1"/>
  <c r="J675" i="1"/>
  <c r="AL675" i="1" s="1"/>
  <c r="BJ674" i="1"/>
  <c r="BF674" i="1"/>
  <c r="BD674" i="1"/>
  <c r="AW674" i="1"/>
  <c r="AP674" i="1"/>
  <c r="AX674" i="1" s="1"/>
  <c r="AO674" i="1"/>
  <c r="BH674" i="1" s="1"/>
  <c r="AF674" i="1" s="1"/>
  <c r="AK674" i="1"/>
  <c r="AJ674" i="1"/>
  <c r="AH674" i="1"/>
  <c r="AE674" i="1"/>
  <c r="AD674" i="1"/>
  <c r="AC674" i="1"/>
  <c r="AB674" i="1"/>
  <c r="Z674" i="1"/>
  <c r="J674" i="1"/>
  <c r="AL674" i="1" s="1"/>
  <c r="H674" i="1"/>
  <c r="BJ673" i="1"/>
  <c r="BF673" i="1"/>
  <c r="BD673" i="1"/>
  <c r="AW673" i="1"/>
  <c r="AP673" i="1"/>
  <c r="AO673" i="1"/>
  <c r="BH673" i="1" s="1"/>
  <c r="AF673" i="1" s="1"/>
  <c r="AK673" i="1"/>
  <c r="AJ673" i="1"/>
  <c r="AH673" i="1"/>
  <c r="AE673" i="1"/>
  <c r="AD673" i="1"/>
  <c r="AC673" i="1"/>
  <c r="AB673" i="1"/>
  <c r="Z673" i="1"/>
  <c r="J673" i="1"/>
  <c r="AL673" i="1" s="1"/>
  <c r="BJ672" i="1"/>
  <c r="BF672" i="1"/>
  <c r="BD672" i="1"/>
  <c r="AP672" i="1"/>
  <c r="BI672" i="1" s="1"/>
  <c r="AG672" i="1" s="1"/>
  <c r="AO672" i="1"/>
  <c r="H672" i="1" s="1"/>
  <c r="AK672" i="1"/>
  <c r="AJ672" i="1"/>
  <c r="AH672" i="1"/>
  <c r="AE672" i="1"/>
  <c r="AD672" i="1"/>
  <c r="AC672" i="1"/>
  <c r="AB672" i="1"/>
  <c r="Z672" i="1"/>
  <c r="J672" i="1"/>
  <c r="AL672" i="1" s="1"/>
  <c r="BJ671" i="1"/>
  <c r="BF671" i="1"/>
  <c r="BD671" i="1"/>
  <c r="AP671" i="1"/>
  <c r="I671" i="1" s="1"/>
  <c r="AO671" i="1"/>
  <c r="AW671" i="1" s="1"/>
  <c r="AK671" i="1"/>
  <c r="AJ671" i="1"/>
  <c r="AH671" i="1"/>
  <c r="AE671" i="1"/>
  <c r="AD671" i="1"/>
  <c r="AC671" i="1"/>
  <c r="AB671" i="1"/>
  <c r="Z671" i="1"/>
  <c r="J671" i="1"/>
  <c r="AL671" i="1" s="1"/>
  <c r="H671" i="1"/>
  <c r="BJ670" i="1"/>
  <c r="BF670" i="1"/>
  <c r="BD670" i="1"/>
  <c r="AP670" i="1"/>
  <c r="AX670" i="1" s="1"/>
  <c r="AO670" i="1"/>
  <c r="AW670" i="1" s="1"/>
  <c r="AK670" i="1"/>
  <c r="AJ670" i="1"/>
  <c r="AH670" i="1"/>
  <c r="AE670" i="1"/>
  <c r="AD670" i="1"/>
  <c r="AC670" i="1"/>
  <c r="AB670" i="1"/>
  <c r="Z670" i="1"/>
  <c r="J670" i="1"/>
  <c r="AL670" i="1" s="1"/>
  <c r="BJ669" i="1"/>
  <c r="BF669" i="1"/>
  <c r="BD669" i="1"/>
  <c r="AP669" i="1"/>
  <c r="AX669" i="1" s="1"/>
  <c r="AO669" i="1"/>
  <c r="H669" i="1" s="1"/>
  <c r="AL669" i="1"/>
  <c r="AK669" i="1"/>
  <c r="AJ669" i="1"/>
  <c r="AH669" i="1"/>
  <c r="AE669" i="1"/>
  <c r="AD669" i="1"/>
  <c r="AC669" i="1"/>
  <c r="AB669" i="1"/>
  <c r="Z669" i="1"/>
  <c r="J669" i="1"/>
  <c r="BJ667" i="1"/>
  <c r="BF667" i="1"/>
  <c r="BD667" i="1"/>
  <c r="AP667" i="1"/>
  <c r="I667" i="1" s="1"/>
  <c r="AO667" i="1"/>
  <c r="BH667" i="1" s="1"/>
  <c r="AF667" i="1" s="1"/>
  <c r="AK667" i="1"/>
  <c r="AJ667" i="1"/>
  <c r="AH667" i="1"/>
  <c r="AE667" i="1"/>
  <c r="AD667" i="1"/>
  <c r="AC667" i="1"/>
  <c r="AB667" i="1"/>
  <c r="Z667" i="1"/>
  <c r="J667" i="1"/>
  <c r="AL667" i="1" s="1"/>
  <c r="BJ666" i="1"/>
  <c r="BI666" i="1"/>
  <c r="AC666" i="1" s="1"/>
  <c r="BF666" i="1"/>
  <c r="BD666" i="1"/>
  <c r="AP666" i="1"/>
  <c r="AO666" i="1"/>
  <c r="AW666" i="1" s="1"/>
  <c r="AK666" i="1"/>
  <c r="AJ666" i="1"/>
  <c r="AH666" i="1"/>
  <c r="AG666" i="1"/>
  <c r="AF666" i="1"/>
  <c r="AE666" i="1"/>
  <c r="AD666" i="1"/>
  <c r="Z666" i="1"/>
  <c r="J666" i="1"/>
  <c r="AL666" i="1" s="1"/>
  <c r="BJ665" i="1"/>
  <c r="BF665" i="1"/>
  <c r="BD665" i="1"/>
  <c r="AW665" i="1"/>
  <c r="AP665" i="1"/>
  <c r="AX665" i="1" s="1"/>
  <c r="AO665" i="1"/>
  <c r="BH665" i="1" s="1"/>
  <c r="AK665" i="1"/>
  <c r="AJ665" i="1"/>
  <c r="AH665" i="1"/>
  <c r="AG665" i="1"/>
  <c r="AF665" i="1"/>
  <c r="AE665" i="1"/>
  <c r="AD665" i="1"/>
  <c r="AB665" i="1"/>
  <c r="Z665" i="1"/>
  <c r="J665" i="1"/>
  <c r="AL665" i="1" s="1"/>
  <c r="BJ663" i="1"/>
  <c r="BF663" i="1"/>
  <c r="BD663" i="1"/>
  <c r="AX663" i="1"/>
  <c r="AP663" i="1"/>
  <c r="BI663" i="1" s="1"/>
  <c r="AG663" i="1" s="1"/>
  <c r="AO663" i="1"/>
  <c r="BH663" i="1" s="1"/>
  <c r="AF663" i="1" s="1"/>
  <c r="AL663" i="1"/>
  <c r="AK663" i="1"/>
  <c r="AJ663" i="1"/>
  <c r="AH663" i="1"/>
  <c r="AE663" i="1"/>
  <c r="AD663" i="1"/>
  <c r="AC663" i="1"/>
  <c r="AB663" i="1"/>
  <c r="Z663" i="1"/>
  <c r="J663" i="1"/>
  <c r="I663" i="1"/>
  <c r="BJ661" i="1"/>
  <c r="BF661" i="1"/>
  <c r="BD661" i="1"/>
  <c r="AP661" i="1"/>
  <c r="AX661" i="1" s="1"/>
  <c r="AO661" i="1"/>
  <c r="AW661" i="1" s="1"/>
  <c r="AK661" i="1"/>
  <c r="AT660" i="1" s="1"/>
  <c r="AJ661" i="1"/>
  <c r="AS660" i="1" s="1"/>
  <c r="AH661" i="1"/>
  <c r="AE661" i="1"/>
  <c r="AD661" i="1"/>
  <c r="AC661" i="1"/>
  <c r="AB661" i="1"/>
  <c r="Z661" i="1"/>
  <c r="J661" i="1"/>
  <c r="AL661" i="1" s="1"/>
  <c r="AU660" i="1" s="1"/>
  <c r="J660" i="1"/>
  <c r="G62" i="2" s="1"/>
  <c r="I62" i="2" s="1"/>
  <c r="BJ659" i="1"/>
  <c r="BF659" i="1"/>
  <c r="BD659" i="1"/>
  <c r="AP659" i="1"/>
  <c r="BI659" i="1" s="1"/>
  <c r="AG659" i="1" s="1"/>
  <c r="AO659" i="1"/>
  <c r="AW659" i="1" s="1"/>
  <c r="AK659" i="1"/>
  <c r="AJ659" i="1"/>
  <c r="AH659" i="1"/>
  <c r="AE659" i="1"/>
  <c r="AD659" i="1"/>
  <c r="AC659" i="1"/>
  <c r="AB659" i="1"/>
  <c r="Z659" i="1"/>
  <c r="J659" i="1"/>
  <c r="AL659" i="1" s="1"/>
  <c r="BJ658" i="1"/>
  <c r="BF658" i="1"/>
  <c r="BD658" i="1"/>
  <c r="AP658" i="1"/>
  <c r="AX658" i="1" s="1"/>
  <c r="AO658" i="1"/>
  <c r="AK658" i="1"/>
  <c r="AJ658" i="1"/>
  <c r="AH658" i="1"/>
  <c r="AE658" i="1"/>
  <c r="AD658" i="1"/>
  <c r="AC658" i="1"/>
  <c r="AB658" i="1"/>
  <c r="Z658" i="1"/>
  <c r="J658" i="1"/>
  <c r="AL658" i="1" s="1"/>
  <c r="AU657" i="1" s="1"/>
  <c r="J657" i="1"/>
  <c r="G61" i="2" s="1"/>
  <c r="I61" i="2" s="1"/>
  <c r="BJ656" i="1"/>
  <c r="BF656" i="1"/>
  <c r="BD656" i="1"/>
  <c r="AP656" i="1"/>
  <c r="AO656" i="1"/>
  <c r="AW656" i="1" s="1"/>
  <c r="AK656" i="1"/>
  <c r="AJ656" i="1"/>
  <c r="AH656" i="1"/>
  <c r="AE656" i="1"/>
  <c r="AD656" i="1"/>
  <c r="AC656" i="1"/>
  <c r="AB656" i="1"/>
  <c r="Z656" i="1"/>
  <c r="J656" i="1"/>
  <c r="AL656" i="1" s="1"/>
  <c r="BJ655" i="1"/>
  <c r="BF655" i="1"/>
  <c r="BD655" i="1"/>
  <c r="AP655" i="1"/>
  <c r="AX655" i="1" s="1"/>
  <c r="AO655" i="1"/>
  <c r="AW655" i="1" s="1"/>
  <c r="AK655" i="1"/>
  <c r="AJ655" i="1"/>
  <c r="AH655" i="1"/>
  <c r="AE655" i="1"/>
  <c r="AD655" i="1"/>
  <c r="AC655" i="1"/>
  <c r="AB655" i="1"/>
  <c r="Z655" i="1"/>
  <c r="J655" i="1"/>
  <c r="AL655" i="1" s="1"/>
  <c r="BJ654" i="1"/>
  <c r="BF654" i="1"/>
  <c r="BD654" i="1"/>
  <c r="AP654" i="1"/>
  <c r="BI654" i="1" s="1"/>
  <c r="AO654" i="1"/>
  <c r="BH654" i="1" s="1"/>
  <c r="AF654" i="1" s="1"/>
  <c r="AL654" i="1"/>
  <c r="AK654" i="1"/>
  <c r="AJ654" i="1"/>
  <c r="AH654" i="1"/>
  <c r="AG654" i="1"/>
  <c r="AE654" i="1"/>
  <c r="AD654" i="1"/>
  <c r="AC654" i="1"/>
  <c r="AB654" i="1"/>
  <c r="Z654" i="1"/>
  <c r="J654" i="1"/>
  <c r="BJ653" i="1"/>
  <c r="BF653" i="1"/>
  <c r="BD653" i="1"/>
  <c r="AX653" i="1"/>
  <c r="AP653" i="1"/>
  <c r="BI653" i="1" s="1"/>
  <c r="AG653" i="1" s="1"/>
  <c r="AO653" i="1"/>
  <c r="AK653" i="1"/>
  <c r="AJ653" i="1"/>
  <c r="AH653" i="1"/>
  <c r="AE653" i="1"/>
  <c r="AD653" i="1"/>
  <c r="AC653" i="1"/>
  <c r="AB653" i="1"/>
  <c r="Z653" i="1"/>
  <c r="J653" i="1"/>
  <c r="AL653" i="1" s="1"/>
  <c r="I653" i="1"/>
  <c r="BJ652" i="1"/>
  <c r="BF652" i="1"/>
  <c r="BD652" i="1"/>
  <c r="AP652" i="1"/>
  <c r="AO652" i="1"/>
  <c r="AW652" i="1" s="1"/>
  <c r="AK652" i="1"/>
  <c r="AJ652" i="1"/>
  <c r="AH652" i="1"/>
  <c r="AE652" i="1"/>
  <c r="AD652" i="1"/>
  <c r="AC652" i="1"/>
  <c r="AB652" i="1"/>
  <c r="Z652" i="1"/>
  <c r="J652" i="1"/>
  <c r="AL652" i="1" s="1"/>
  <c r="H652" i="1"/>
  <c r="BJ650" i="1"/>
  <c r="BF650" i="1"/>
  <c r="BD650" i="1"/>
  <c r="AX650" i="1"/>
  <c r="AP650" i="1"/>
  <c r="BI650" i="1" s="1"/>
  <c r="AG650" i="1" s="1"/>
  <c r="AO650" i="1"/>
  <c r="BH650" i="1" s="1"/>
  <c r="AF650" i="1" s="1"/>
  <c r="AK650" i="1"/>
  <c r="AJ650" i="1"/>
  <c r="AS649" i="1" s="1"/>
  <c r="AH650" i="1"/>
  <c r="AE650" i="1"/>
  <c r="AD650" i="1"/>
  <c r="AC650" i="1"/>
  <c r="AB650" i="1"/>
  <c r="Z650" i="1"/>
  <c r="J650" i="1"/>
  <c r="AT649" i="1"/>
  <c r="BJ648" i="1"/>
  <c r="BF648" i="1"/>
  <c r="BD648" i="1"/>
  <c r="AX648" i="1"/>
  <c r="AP648" i="1"/>
  <c r="BI648" i="1" s="1"/>
  <c r="AO648" i="1"/>
  <c r="BH648" i="1" s="1"/>
  <c r="AF648" i="1" s="1"/>
  <c r="AL648" i="1"/>
  <c r="AK648" i="1"/>
  <c r="AJ648" i="1"/>
  <c r="AH648" i="1"/>
  <c r="AG648" i="1"/>
  <c r="AE648" i="1"/>
  <c r="AD648" i="1"/>
  <c r="AC648" i="1"/>
  <c r="AB648" i="1"/>
  <c r="Z648" i="1"/>
  <c r="J648" i="1"/>
  <c r="I648" i="1"/>
  <c r="H648" i="1"/>
  <c r="BJ647" i="1"/>
  <c r="BF647" i="1"/>
  <c r="BD647" i="1"/>
  <c r="AP647" i="1"/>
  <c r="BI647" i="1" s="1"/>
  <c r="AG647" i="1" s="1"/>
  <c r="AO647" i="1"/>
  <c r="BH647" i="1" s="1"/>
  <c r="AF647" i="1" s="1"/>
  <c r="AK647" i="1"/>
  <c r="AJ647" i="1"/>
  <c r="AH647" i="1"/>
  <c r="AE647" i="1"/>
  <c r="AD647" i="1"/>
  <c r="AC647" i="1"/>
  <c r="AB647" i="1"/>
  <c r="Z647" i="1"/>
  <c r="J647" i="1"/>
  <c r="AL647" i="1" s="1"/>
  <c r="BJ646" i="1"/>
  <c r="BF646" i="1"/>
  <c r="BD646" i="1"/>
  <c r="AP646" i="1"/>
  <c r="BI646" i="1" s="1"/>
  <c r="AG646" i="1" s="1"/>
  <c r="AO646" i="1"/>
  <c r="AW646" i="1" s="1"/>
  <c r="AK646" i="1"/>
  <c r="AJ646" i="1"/>
  <c r="AH646" i="1"/>
  <c r="AE646" i="1"/>
  <c r="AD646" i="1"/>
  <c r="AC646" i="1"/>
  <c r="AB646" i="1"/>
  <c r="Z646" i="1"/>
  <c r="J646" i="1"/>
  <c r="AL646" i="1" s="1"/>
  <c r="H646" i="1"/>
  <c r="BJ645" i="1"/>
  <c r="BF645" i="1"/>
  <c r="BD645" i="1"/>
  <c r="AP645" i="1"/>
  <c r="AX645" i="1" s="1"/>
  <c r="AO645" i="1"/>
  <c r="AW645" i="1" s="1"/>
  <c r="AK645" i="1"/>
  <c r="AT644" i="1" s="1"/>
  <c r="AJ645" i="1"/>
  <c r="AH645" i="1"/>
  <c r="AE645" i="1"/>
  <c r="AD645" i="1"/>
  <c r="AC645" i="1"/>
  <c r="AB645" i="1"/>
  <c r="Z645" i="1"/>
  <c r="J645" i="1"/>
  <c r="BJ643" i="1"/>
  <c r="BF643" i="1"/>
  <c r="BD643" i="1"/>
  <c r="AP643" i="1"/>
  <c r="AO643" i="1"/>
  <c r="AW643" i="1" s="1"/>
  <c r="AK643" i="1"/>
  <c r="AJ643" i="1"/>
  <c r="AH643" i="1"/>
  <c r="AG643" i="1"/>
  <c r="AF643" i="1"/>
  <c r="AE643" i="1"/>
  <c r="AD643" i="1"/>
  <c r="Z643" i="1"/>
  <c r="J643" i="1"/>
  <c r="AL643" i="1" s="1"/>
  <c r="BJ642" i="1"/>
  <c r="BF642" i="1"/>
  <c r="BD642" i="1"/>
  <c r="AP642" i="1"/>
  <c r="AX642" i="1" s="1"/>
  <c r="AO642" i="1"/>
  <c r="AW642" i="1" s="1"/>
  <c r="AK642" i="1"/>
  <c r="AJ642" i="1"/>
  <c r="AH642" i="1"/>
  <c r="AE642" i="1"/>
  <c r="AD642" i="1"/>
  <c r="AC642" i="1"/>
  <c r="AB642" i="1"/>
  <c r="Z642" i="1"/>
  <c r="J642" i="1"/>
  <c r="AL642" i="1" s="1"/>
  <c r="BJ641" i="1"/>
  <c r="BF641" i="1"/>
  <c r="BD641" i="1"/>
  <c r="AW641" i="1"/>
  <c r="AP641" i="1"/>
  <c r="AX641" i="1" s="1"/>
  <c r="AO641" i="1"/>
  <c r="H641" i="1" s="1"/>
  <c r="AL641" i="1"/>
  <c r="AK641" i="1"/>
  <c r="AJ641" i="1"/>
  <c r="AH641" i="1"/>
  <c r="AE641" i="1"/>
  <c r="AD641" i="1"/>
  <c r="AC641" i="1"/>
  <c r="AB641" i="1"/>
  <c r="Z641" i="1"/>
  <c r="J641" i="1"/>
  <c r="I641" i="1"/>
  <c r="BJ640" i="1"/>
  <c r="BF640" i="1"/>
  <c r="BD640" i="1"/>
  <c r="AP640" i="1"/>
  <c r="I640" i="1" s="1"/>
  <c r="AO640" i="1"/>
  <c r="BH640" i="1" s="1"/>
  <c r="AF640" i="1" s="1"/>
  <c r="AK640" i="1"/>
  <c r="AJ640" i="1"/>
  <c r="AH640" i="1"/>
  <c r="AE640" i="1"/>
  <c r="AD640" i="1"/>
  <c r="AC640" i="1"/>
  <c r="AB640" i="1"/>
  <c r="Z640" i="1"/>
  <c r="J640" i="1"/>
  <c r="AL640" i="1" s="1"/>
  <c r="BJ639" i="1"/>
  <c r="BI639" i="1"/>
  <c r="AG639" i="1" s="1"/>
  <c r="BF639" i="1"/>
  <c r="BD639" i="1"/>
  <c r="AP639" i="1"/>
  <c r="AO639" i="1"/>
  <c r="AW639" i="1" s="1"/>
  <c r="AK639" i="1"/>
  <c r="AJ639" i="1"/>
  <c r="AH639" i="1"/>
  <c r="AE639" i="1"/>
  <c r="AD639" i="1"/>
  <c r="AC639" i="1"/>
  <c r="AB639" i="1"/>
  <c r="Z639" i="1"/>
  <c r="J639" i="1"/>
  <c r="AL639" i="1" s="1"/>
  <c r="BJ638" i="1"/>
  <c r="BF638" i="1"/>
  <c r="BD638" i="1"/>
  <c r="AW638" i="1"/>
  <c r="AP638" i="1"/>
  <c r="AX638" i="1" s="1"/>
  <c r="AV638" i="1" s="1"/>
  <c r="AO638" i="1"/>
  <c r="BH638" i="1" s="1"/>
  <c r="AK638" i="1"/>
  <c r="AJ638" i="1"/>
  <c r="AH638" i="1"/>
  <c r="AG638" i="1"/>
  <c r="AF638" i="1"/>
  <c r="AE638" i="1"/>
  <c r="AD638" i="1"/>
  <c r="AB638" i="1"/>
  <c r="Z638" i="1"/>
  <c r="J638" i="1"/>
  <c r="AL638" i="1" s="1"/>
  <c r="H638" i="1"/>
  <c r="BJ637" i="1"/>
  <c r="BF637" i="1"/>
  <c r="BD637" i="1"/>
  <c r="AP637" i="1"/>
  <c r="BI637" i="1" s="1"/>
  <c r="AG637" i="1" s="1"/>
  <c r="AO637" i="1"/>
  <c r="AK637" i="1"/>
  <c r="AJ637" i="1"/>
  <c r="AH637" i="1"/>
  <c r="AE637" i="1"/>
  <c r="AD637" i="1"/>
  <c r="AC637" i="1"/>
  <c r="AB637" i="1"/>
  <c r="Z637" i="1"/>
  <c r="J637" i="1"/>
  <c r="AL637" i="1" s="1"/>
  <c r="BJ636" i="1"/>
  <c r="BF636" i="1"/>
  <c r="BD636" i="1"/>
  <c r="AX636" i="1"/>
  <c r="AP636" i="1"/>
  <c r="AO636" i="1"/>
  <c r="BH636" i="1" s="1"/>
  <c r="AF636" i="1" s="1"/>
  <c r="AK636" i="1"/>
  <c r="AJ636" i="1"/>
  <c r="AH636" i="1"/>
  <c r="AE636" i="1"/>
  <c r="AD636" i="1"/>
  <c r="AC636" i="1"/>
  <c r="AB636" i="1"/>
  <c r="Z636" i="1"/>
  <c r="J636" i="1"/>
  <c r="AL636" i="1" s="1"/>
  <c r="BJ635" i="1"/>
  <c r="BF635" i="1"/>
  <c r="BD635" i="1"/>
  <c r="AP635" i="1"/>
  <c r="AO635" i="1"/>
  <c r="AK635" i="1"/>
  <c r="AJ635" i="1"/>
  <c r="AH635" i="1"/>
  <c r="AE635" i="1"/>
  <c r="AD635" i="1"/>
  <c r="AC635" i="1"/>
  <c r="AB635" i="1"/>
  <c r="Z635" i="1"/>
  <c r="J635" i="1"/>
  <c r="BJ632" i="1"/>
  <c r="BF632" i="1"/>
  <c r="BD632" i="1"/>
  <c r="AP632" i="1"/>
  <c r="AX632" i="1" s="1"/>
  <c r="AO632" i="1"/>
  <c r="H632" i="1" s="1"/>
  <c r="AK632" i="1"/>
  <c r="AJ632" i="1"/>
  <c r="AH632" i="1"/>
  <c r="AG632" i="1"/>
  <c r="AF632" i="1"/>
  <c r="AE632" i="1"/>
  <c r="AD632" i="1"/>
  <c r="Z632" i="1"/>
  <c r="J632" i="1"/>
  <c r="AL632" i="1" s="1"/>
  <c r="BJ630" i="1"/>
  <c r="BF630" i="1"/>
  <c r="BD630" i="1"/>
  <c r="AP630" i="1"/>
  <c r="AX630" i="1" s="1"/>
  <c r="AO630" i="1"/>
  <c r="AK630" i="1"/>
  <c r="AJ630" i="1"/>
  <c r="AH630" i="1"/>
  <c r="AG630" i="1"/>
  <c r="AF630" i="1"/>
  <c r="AE630" i="1"/>
  <c r="AD630" i="1"/>
  <c r="Z630" i="1"/>
  <c r="J630" i="1"/>
  <c r="BJ629" i="1"/>
  <c r="BF629" i="1"/>
  <c r="BD629" i="1"/>
  <c r="AP629" i="1"/>
  <c r="AX629" i="1" s="1"/>
  <c r="AO629" i="1"/>
  <c r="H629" i="1" s="1"/>
  <c r="AK629" i="1"/>
  <c r="AJ629" i="1"/>
  <c r="AH629" i="1"/>
  <c r="AG629" i="1"/>
  <c r="AF629" i="1"/>
  <c r="AE629" i="1"/>
  <c r="AD629" i="1"/>
  <c r="Z629" i="1"/>
  <c r="J629" i="1"/>
  <c r="AL629" i="1" s="1"/>
  <c r="BJ628" i="1"/>
  <c r="BF628" i="1"/>
  <c r="BD628" i="1"/>
  <c r="AW628" i="1"/>
  <c r="AP628" i="1"/>
  <c r="AO628" i="1"/>
  <c r="H628" i="1" s="1"/>
  <c r="AK628" i="1"/>
  <c r="AJ628" i="1"/>
  <c r="AH628" i="1"/>
  <c r="AG628" i="1"/>
  <c r="AF628" i="1"/>
  <c r="AE628" i="1"/>
  <c r="AD628" i="1"/>
  <c r="Z628" i="1"/>
  <c r="J628" i="1"/>
  <c r="AL628" i="1" s="1"/>
  <c r="BJ626" i="1"/>
  <c r="BF626" i="1"/>
  <c r="BD626" i="1"/>
  <c r="AP626" i="1"/>
  <c r="BI626" i="1" s="1"/>
  <c r="AC626" i="1" s="1"/>
  <c r="AO626" i="1"/>
  <c r="AL626" i="1"/>
  <c r="AK626" i="1"/>
  <c r="AJ626" i="1"/>
  <c r="AH626" i="1"/>
  <c r="AG626" i="1"/>
  <c r="AF626" i="1"/>
  <c r="AE626" i="1"/>
  <c r="AD626" i="1"/>
  <c r="Z626" i="1"/>
  <c r="J626" i="1"/>
  <c r="BJ625" i="1"/>
  <c r="BH625" i="1"/>
  <c r="AB625" i="1" s="1"/>
  <c r="BF625" i="1"/>
  <c r="BD625" i="1"/>
  <c r="AW625" i="1"/>
  <c r="AP625" i="1"/>
  <c r="AO625" i="1"/>
  <c r="H625" i="1" s="1"/>
  <c r="AK625" i="1"/>
  <c r="AJ625" i="1"/>
  <c r="AH625" i="1"/>
  <c r="AG625" i="1"/>
  <c r="AF625" i="1"/>
  <c r="AE625" i="1"/>
  <c r="AD625" i="1"/>
  <c r="Z625" i="1"/>
  <c r="J625" i="1"/>
  <c r="AL625" i="1" s="1"/>
  <c r="BJ623" i="1"/>
  <c r="BF623" i="1"/>
  <c r="BD623" i="1"/>
  <c r="AP623" i="1"/>
  <c r="I623" i="1" s="1"/>
  <c r="AO623" i="1"/>
  <c r="AK623" i="1"/>
  <c r="AJ623" i="1"/>
  <c r="AH623" i="1"/>
  <c r="AG623" i="1"/>
  <c r="AF623" i="1"/>
  <c r="AE623" i="1"/>
  <c r="AD623" i="1"/>
  <c r="Z623" i="1"/>
  <c r="J623" i="1"/>
  <c r="BJ619" i="1"/>
  <c r="BI619" i="1"/>
  <c r="AC619" i="1" s="1"/>
  <c r="BH619" i="1"/>
  <c r="AB619" i="1" s="1"/>
  <c r="BF619" i="1"/>
  <c r="BD619" i="1"/>
  <c r="AX619" i="1"/>
  <c r="AW619" i="1"/>
  <c r="AP619" i="1"/>
  <c r="AO619" i="1"/>
  <c r="H619" i="1" s="1"/>
  <c r="AK619" i="1"/>
  <c r="AJ619" i="1"/>
  <c r="AH619" i="1"/>
  <c r="AG619" i="1"/>
  <c r="AF619" i="1"/>
  <c r="AE619" i="1"/>
  <c r="AD619" i="1"/>
  <c r="Z619" i="1"/>
  <c r="J619" i="1"/>
  <c r="AL619" i="1" s="1"/>
  <c r="I619" i="1"/>
  <c r="BJ615" i="1"/>
  <c r="BF615" i="1"/>
  <c r="BD615" i="1"/>
  <c r="AP615" i="1"/>
  <c r="I615" i="1" s="1"/>
  <c r="AO615" i="1"/>
  <c r="AK615" i="1"/>
  <c r="AJ615" i="1"/>
  <c r="AH615" i="1"/>
  <c r="AG615" i="1"/>
  <c r="AF615" i="1"/>
  <c r="AE615" i="1"/>
  <c r="AD615" i="1"/>
  <c r="Z615" i="1"/>
  <c r="J615" i="1"/>
  <c r="AL615" i="1" s="1"/>
  <c r="BJ611" i="1"/>
  <c r="BF611" i="1"/>
  <c r="BD611" i="1"/>
  <c r="AP611" i="1"/>
  <c r="AO611" i="1"/>
  <c r="AW611" i="1" s="1"/>
  <c r="AK611" i="1"/>
  <c r="AJ611" i="1"/>
  <c r="AH611" i="1"/>
  <c r="AG611" i="1"/>
  <c r="AF611" i="1"/>
  <c r="AE611" i="1"/>
  <c r="AD611" i="1"/>
  <c r="Z611" i="1"/>
  <c r="J611" i="1"/>
  <c r="AL611" i="1" s="1"/>
  <c r="H611" i="1"/>
  <c r="BJ610" i="1"/>
  <c r="BF610" i="1"/>
  <c r="BD610" i="1"/>
  <c r="AW610" i="1"/>
  <c r="AP610" i="1"/>
  <c r="AX610" i="1" s="1"/>
  <c r="AV610" i="1" s="1"/>
  <c r="AO610" i="1"/>
  <c r="BH610" i="1" s="1"/>
  <c r="AB610" i="1" s="1"/>
  <c r="AK610" i="1"/>
  <c r="AJ610" i="1"/>
  <c r="AH610" i="1"/>
  <c r="AG610" i="1"/>
  <c r="AF610" i="1"/>
  <c r="AE610" i="1"/>
  <c r="AD610" i="1"/>
  <c r="Z610" i="1"/>
  <c r="J610" i="1"/>
  <c r="AL610" i="1" s="1"/>
  <c r="H610" i="1"/>
  <c r="BJ608" i="1"/>
  <c r="BF608" i="1"/>
  <c r="BD608" i="1"/>
  <c r="AP608" i="1"/>
  <c r="BI608" i="1" s="1"/>
  <c r="AO608" i="1"/>
  <c r="AK608" i="1"/>
  <c r="AJ608" i="1"/>
  <c r="AH608" i="1"/>
  <c r="AG608" i="1"/>
  <c r="AF608" i="1"/>
  <c r="AE608" i="1"/>
  <c r="AD608" i="1"/>
  <c r="AC608" i="1"/>
  <c r="Z608" i="1"/>
  <c r="J608" i="1"/>
  <c r="AL608" i="1" s="1"/>
  <c r="I608" i="1"/>
  <c r="BJ607" i="1"/>
  <c r="BF607" i="1"/>
  <c r="BD607" i="1"/>
  <c r="AX607" i="1"/>
  <c r="AP607" i="1"/>
  <c r="BI607" i="1" s="1"/>
  <c r="AC607" i="1" s="1"/>
  <c r="AO607" i="1"/>
  <c r="AK607" i="1"/>
  <c r="AJ607" i="1"/>
  <c r="AH607" i="1"/>
  <c r="AG607" i="1"/>
  <c r="AF607" i="1"/>
  <c r="AE607" i="1"/>
  <c r="AD607" i="1"/>
  <c r="Z607" i="1"/>
  <c r="J607" i="1"/>
  <c r="AL607" i="1" s="1"/>
  <c r="BJ606" i="1"/>
  <c r="BF606" i="1"/>
  <c r="BD606" i="1"/>
  <c r="AP606" i="1"/>
  <c r="AO606" i="1"/>
  <c r="AW606" i="1" s="1"/>
  <c r="AK606" i="1"/>
  <c r="AJ606" i="1"/>
  <c r="AH606" i="1"/>
  <c r="AG606" i="1"/>
  <c r="AF606" i="1"/>
  <c r="AE606" i="1"/>
  <c r="AD606" i="1"/>
  <c r="Z606" i="1"/>
  <c r="J606" i="1"/>
  <c r="AL606" i="1" s="1"/>
  <c r="BJ605" i="1"/>
  <c r="BF605" i="1"/>
  <c r="BD605" i="1"/>
  <c r="AP605" i="1"/>
  <c r="AX605" i="1" s="1"/>
  <c r="AO605" i="1"/>
  <c r="H605" i="1" s="1"/>
  <c r="AK605" i="1"/>
  <c r="AJ605" i="1"/>
  <c r="AH605" i="1"/>
  <c r="AG605" i="1"/>
  <c r="AF605" i="1"/>
  <c r="AE605" i="1"/>
  <c r="AD605" i="1"/>
  <c r="Z605" i="1"/>
  <c r="J605" i="1"/>
  <c r="AL605" i="1" s="1"/>
  <c r="I605" i="1"/>
  <c r="BJ604" i="1"/>
  <c r="BF604" i="1"/>
  <c r="BD604" i="1"/>
  <c r="AX604" i="1"/>
  <c r="AP604" i="1"/>
  <c r="BI604" i="1" s="1"/>
  <c r="AO604" i="1"/>
  <c r="H604" i="1" s="1"/>
  <c r="AL604" i="1"/>
  <c r="AK604" i="1"/>
  <c r="AJ604" i="1"/>
  <c r="AH604" i="1"/>
  <c r="AG604" i="1"/>
  <c r="AF604" i="1"/>
  <c r="AE604" i="1"/>
  <c r="AD604" i="1"/>
  <c r="AC604" i="1"/>
  <c r="Z604" i="1"/>
  <c r="J604" i="1"/>
  <c r="I604" i="1"/>
  <c r="AS603" i="1"/>
  <c r="BJ601" i="1"/>
  <c r="BF601" i="1"/>
  <c r="BD601" i="1"/>
  <c r="AP601" i="1"/>
  <c r="AX601" i="1" s="1"/>
  <c r="AO601" i="1"/>
  <c r="AK601" i="1"/>
  <c r="AJ601" i="1"/>
  <c r="AH601" i="1"/>
  <c r="AG601" i="1"/>
  <c r="AF601" i="1"/>
  <c r="AE601" i="1"/>
  <c r="AD601" i="1"/>
  <c r="Z601" i="1"/>
  <c r="J601" i="1"/>
  <c r="AL601" i="1" s="1"/>
  <c r="BJ599" i="1"/>
  <c r="BF599" i="1"/>
  <c r="BD599" i="1"/>
  <c r="AX599" i="1"/>
  <c r="AP599" i="1"/>
  <c r="AO599" i="1"/>
  <c r="H599" i="1" s="1"/>
  <c r="AL599" i="1"/>
  <c r="AK599" i="1"/>
  <c r="AJ599" i="1"/>
  <c r="AH599" i="1"/>
  <c r="AG599" i="1"/>
  <c r="AF599" i="1"/>
  <c r="AE599" i="1"/>
  <c r="AD599" i="1"/>
  <c r="Z599" i="1"/>
  <c r="J599" i="1"/>
  <c r="AS598" i="1"/>
  <c r="BJ596" i="1"/>
  <c r="BF596" i="1"/>
  <c r="BD596" i="1"/>
  <c r="AP596" i="1"/>
  <c r="AX596" i="1" s="1"/>
  <c r="AO596" i="1"/>
  <c r="BH596" i="1" s="1"/>
  <c r="AD596" i="1" s="1"/>
  <c r="AK596" i="1"/>
  <c r="AJ596" i="1"/>
  <c r="AH596" i="1"/>
  <c r="AG596" i="1"/>
  <c r="AF596" i="1"/>
  <c r="AC596" i="1"/>
  <c r="AB596" i="1"/>
  <c r="Z596" i="1"/>
  <c r="J596" i="1"/>
  <c r="AL596" i="1" s="1"/>
  <c r="I596" i="1"/>
  <c r="H596" i="1"/>
  <c r="BJ592" i="1"/>
  <c r="BF592" i="1"/>
  <c r="BD592" i="1"/>
  <c r="AX592" i="1"/>
  <c r="AP592" i="1"/>
  <c r="BI592" i="1" s="1"/>
  <c r="AE592" i="1" s="1"/>
  <c r="AO592" i="1"/>
  <c r="H592" i="1" s="1"/>
  <c r="AK592" i="1"/>
  <c r="AJ592" i="1"/>
  <c r="AH592" i="1"/>
  <c r="AG592" i="1"/>
  <c r="AF592" i="1"/>
  <c r="AC592" i="1"/>
  <c r="AB592" i="1"/>
  <c r="Z592" i="1"/>
  <c r="J592" i="1"/>
  <c r="AL592" i="1" s="1"/>
  <c r="I592" i="1"/>
  <c r="BJ591" i="1"/>
  <c r="BH591" i="1"/>
  <c r="AD591" i="1" s="1"/>
  <c r="BF591" i="1"/>
  <c r="BD591" i="1"/>
  <c r="AP591" i="1"/>
  <c r="AO591" i="1"/>
  <c r="AK591" i="1"/>
  <c r="AJ591" i="1"/>
  <c r="AH591" i="1"/>
  <c r="AG591" i="1"/>
  <c r="AF591" i="1"/>
  <c r="AC591" i="1"/>
  <c r="AB591" i="1"/>
  <c r="Z591" i="1"/>
  <c r="J591" i="1"/>
  <c r="BJ578" i="1"/>
  <c r="BI578" i="1"/>
  <c r="AE578" i="1" s="1"/>
  <c r="BF578" i="1"/>
  <c r="BD578" i="1"/>
  <c r="AP578" i="1"/>
  <c r="AO578" i="1"/>
  <c r="AW578" i="1" s="1"/>
  <c r="AK578" i="1"/>
  <c r="AJ578" i="1"/>
  <c r="AH578" i="1"/>
  <c r="AG578" i="1"/>
  <c r="AF578" i="1"/>
  <c r="AC578" i="1"/>
  <c r="AB578" i="1"/>
  <c r="Z578" i="1"/>
  <c r="J578" i="1"/>
  <c r="AL578" i="1" s="1"/>
  <c r="H578" i="1"/>
  <c r="BJ573" i="1"/>
  <c r="BI573" i="1"/>
  <c r="BF573" i="1"/>
  <c r="BD573" i="1"/>
  <c r="AX573" i="1"/>
  <c r="AP573" i="1"/>
  <c r="I573" i="1" s="1"/>
  <c r="AO573" i="1"/>
  <c r="BH573" i="1" s="1"/>
  <c r="AD573" i="1" s="1"/>
  <c r="AK573" i="1"/>
  <c r="AJ573" i="1"/>
  <c r="AH573" i="1"/>
  <c r="AG573" i="1"/>
  <c r="AF573" i="1"/>
  <c r="AE573" i="1"/>
  <c r="AC573" i="1"/>
  <c r="AB573" i="1"/>
  <c r="Z573" i="1"/>
  <c r="J573" i="1"/>
  <c r="AL573" i="1" s="1"/>
  <c r="BJ569" i="1"/>
  <c r="BF569" i="1"/>
  <c r="BD569" i="1"/>
  <c r="AP569" i="1"/>
  <c r="BI569" i="1" s="1"/>
  <c r="AE569" i="1" s="1"/>
  <c r="AO569" i="1"/>
  <c r="AW569" i="1" s="1"/>
  <c r="AK569" i="1"/>
  <c r="AJ569" i="1"/>
  <c r="AH569" i="1"/>
  <c r="AG569" i="1"/>
  <c r="AF569" i="1"/>
  <c r="AC569" i="1"/>
  <c r="AB569" i="1"/>
  <c r="Z569" i="1"/>
  <c r="J569" i="1"/>
  <c r="AL569" i="1" s="1"/>
  <c r="H569" i="1"/>
  <c r="BJ565" i="1"/>
  <c r="BF565" i="1"/>
  <c r="BD565" i="1"/>
  <c r="AW565" i="1"/>
  <c r="AP565" i="1"/>
  <c r="AX565" i="1" s="1"/>
  <c r="AO565" i="1"/>
  <c r="BH565" i="1" s="1"/>
  <c r="AD565" i="1" s="1"/>
  <c r="AK565" i="1"/>
  <c r="AJ565" i="1"/>
  <c r="AH565" i="1"/>
  <c r="AG565" i="1"/>
  <c r="AF565" i="1"/>
  <c r="AC565" i="1"/>
  <c r="AB565" i="1"/>
  <c r="Z565" i="1"/>
  <c r="J565" i="1"/>
  <c r="AL565" i="1" s="1"/>
  <c r="BJ561" i="1"/>
  <c r="BF561" i="1"/>
  <c r="BD561" i="1"/>
  <c r="AX561" i="1"/>
  <c r="AP561" i="1"/>
  <c r="BI561" i="1" s="1"/>
  <c r="AE561" i="1" s="1"/>
  <c r="AO561" i="1"/>
  <c r="BH561" i="1" s="1"/>
  <c r="AD561" i="1" s="1"/>
  <c r="AK561" i="1"/>
  <c r="AJ561" i="1"/>
  <c r="AH561" i="1"/>
  <c r="AG561" i="1"/>
  <c r="AF561" i="1"/>
  <c r="AC561" i="1"/>
  <c r="AB561" i="1"/>
  <c r="Z561" i="1"/>
  <c r="J561" i="1"/>
  <c r="AL561" i="1" s="1"/>
  <c r="I561" i="1"/>
  <c r="BJ559" i="1"/>
  <c r="BF559" i="1"/>
  <c r="BD559" i="1"/>
  <c r="AP559" i="1"/>
  <c r="BI559" i="1" s="1"/>
  <c r="AE559" i="1" s="1"/>
  <c r="AO559" i="1"/>
  <c r="BH559" i="1" s="1"/>
  <c r="AD559" i="1" s="1"/>
  <c r="AK559" i="1"/>
  <c r="AJ559" i="1"/>
  <c r="AH559" i="1"/>
  <c r="AG559" i="1"/>
  <c r="AF559" i="1"/>
  <c r="AC559" i="1"/>
  <c r="AB559" i="1"/>
  <c r="Z559" i="1"/>
  <c r="J559" i="1"/>
  <c r="AL559" i="1" s="1"/>
  <c r="BJ556" i="1"/>
  <c r="BF556" i="1"/>
  <c r="BD556" i="1"/>
  <c r="AP556" i="1"/>
  <c r="AO556" i="1"/>
  <c r="AW556" i="1" s="1"/>
  <c r="AK556" i="1"/>
  <c r="AJ556" i="1"/>
  <c r="AH556" i="1"/>
  <c r="AG556" i="1"/>
  <c r="AF556" i="1"/>
  <c r="AC556" i="1"/>
  <c r="AB556" i="1"/>
  <c r="Z556" i="1"/>
  <c r="J556" i="1"/>
  <c r="AL556" i="1" s="1"/>
  <c r="BJ553" i="1"/>
  <c r="BF553" i="1"/>
  <c r="BD553" i="1"/>
  <c r="AP553" i="1"/>
  <c r="AX553" i="1" s="1"/>
  <c r="AO553" i="1"/>
  <c r="BH553" i="1" s="1"/>
  <c r="AD553" i="1" s="1"/>
  <c r="AL553" i="1"/>
  <c r="AK553" i="1"/>
  <c r="AJ553" i="1"/>
  <c r="AH553" i="1"/>
  <c r="AG553" i="1"/>
  <c r="AF553" i="1"/>
  <c r="AC553" i="1"/>
  <c r="AB553" i="1"/>
  <c r="Z553" i="1"/>
  <c r="J553" i="1"/>
  <c r="I553" i="1"/>
  <c r="BJ551" i="1"/>
  <c r="Z551" i="1" s="1"/>
  <c r="BF551" i="1"/>
  <c r="BD551" i="1"/>
  <c r="AP551" i="1"/>
  <c r="AO551" i="1"/>
  <c r="AK551" i="1"/>
  <c r="AJ551" i="1"/>
  <c r="AH551" i="1"/>
  <c r="AG551" i="1"/>
  <c r="AF551" i="1"/>
  <c r="AE551" i="1"/>
  <c r="AD551" i="1"/>
  <c r="AC551" i="1"/>
  <c r="AB551" i="1"/>
  <c r="J551" i="1"/>
  <c r="AL551" i="1" s="1"/>
  <c r="BJ546" i="1"/>
  <c r="BF546" i="1"/>
  <c r="BD546" i="1"/>
  <c r="AP546" i="1"/>
  <c r="AO546" i="1"/>
  <c r="BH546" i="1" s="1"/>
  <c r="AD546" i="1" s="1"/>
  <c r="AL546" i="1"/>
  <c r="AK546" i="1"/>
  <c r="AJ546" i="1"/>
  <c r="AH546" i="1"/>
  <c r="AG546" i="1"/>
  <c r="AF546" i="1"/>
  <c r="AC546" i="1"/>
  <c r="AB546" i="1"/>
  <c r="Z546" i="1"/>
  <c r="J546" i="1"/>
  <c r="BJ543" i="1"/>
  <c r="BH543" i="1"/>
  <c r="AD543" i="1" s="1"/>
  <c r="BF543" i="1"/>
  <c r="BD543" i="1"/>
  <c r="AX543" i="1"/>
  <c r="AP543" i="1"/>
  <c r="BI543" i="1" s="1"/>
  <c r="AE543" i="1" s="1"/>
  <c r="AO543" i="1"/>
  <c r="H543" i="1" s="1"/>
  <c r="AK543" i="1"/>
  <c r="AJ543" i="1"/>
  <c r="AH543" i="1"/>
  <c r="AG543" i="1"/>
  <c r="AF543" i="1"/>
  <c r="AC543" i="1"/>
  <c r="AB543" i="1"/>
  <c r="Z543" i="1"/>
  <c r="J543" i="1"/>
  <c r="AL543" i="1" s="1"/>
  <c r="I543" i="1"/>
  <c r="BJ541" i="1"/>
  <c r="BF541" i="1"/>
  <c r="BD541" i="1"/>
  <c r="AX541" i="1"/>
  <c r="AP541" i="1"/>
  <c r="I541" i="1" s="1"/>
  <c r="AO541" i="1"/>
  <c r="BH541" i="1" s="1"/>
  <c r="AD541" i="1" s="1"/>
  <c r="AK541" i="1"/>
  <c r="AJ541" i="1"/>
  <c r="AH541" i="1"/>
  <c r="AG541" i="1"/>
  <c r="AF541" i="1"/>
  <c r="AC541" i="1"/>
  <c r="AB541" i="1"/>
  <c r="Z541" i="1"/>
  <c r="J541" i="1"/>
  <c r="AL541" i="1" s="1"/>
  <c r="BJ538" i="1"/>
  <c r="BF538" i="1"/>
  <c r="BD538" i="1"/>
  <c r="AP538" i="1"/>
  <c r="BI538" i="1" s="1"/>
  <c r="AE538" i="1" s="1"/>
  <c r="AO538" i="1"/>
  <c r="AW538" i="1" s="1"/>
  <c r="AK538" i="1"/>
  <c r="AJ538" i="1"/>
  <c r="AH538" i="1"/>
  <c r="AG538" i="1"/>
  <c r="AF538" i="1"/>
  <c r="AC538" i="1"/>
  <c r="AB538" i="1"/>
  <c r="Z538" i="1"/>
  <c r="J538" i="1"/>
  <c r="AL538" i="1" s="1"/>
  <c r="H538" i="1"/>
  <c r="BJ535" i="1"/>
  <c r="BF535" i="1"/>
  <c r="BD535" i="1"/>
  <c r="AW535" i="1"/>
  <c r="AP535" i="1"/>
  <c r="AX535" i="1" s="1"/>
  <c r="AV535" i="1" s="1"/>
  <c r="AO535" i="1"/>
  <c r="BH535" i="1" s="1"/>
  <c r="AD535" i="1" s="1"/>
  <c r="AK535" i="1"/>
  <c r="AJ535" i="1"/>
  <c r="AH535" i="1"/>
  <c r="AG535" i="1"/>
  <c r="AF535" i="1"/>
  <c r="AC535" i="1"/>
  <c r="AB535" i="1"/>
  <c r="Z535" i="1"/>
  <c r="J535" i="1"/>
  <c r="AL535" i="1" s="1"/>
  <c r="H535" i="1"/>
  <c r="BJ532" i="1"/>
  <c r="BF532" i="1"/>
  <c r="BD532" i="1"/>
  <c r="AP532" i="1"/>
  <c r="BI532" i="1" s="1"/>
  <c r="AE532" i="1" s="1"/>
  <c r="AO532" i="1"/>
  <c r="AK532" i="1"/>
  <c r="AJ532" i="1"/>
  <c r="AH532" i="1"/>
  <c r="AG532" i="1"/>
  <c r="AF532" i="1"/>
  <c r="AC532" i="1"/>
  <c r="AB532" i="1"/>
  <c r="Z532" i="1"/>
  <c r="J532" i="1"/>
  <c r="AL532" i="1" s="1"/>
  <c r="I532" i="1"/>
  <c r="BJ529" i="1"/>
  <c r="BH529" i="1"/>
  <c r="AD529" i="1" s="1"/>
  <c r="BF529" i="1"/>
  <c r="BD529" i="1"/>
  <c r="AP529" i="1"/>
  <c r="AO529" i="1"/>
  <c r="AK529" i="1"/>
  <c r="AJ529" i="1"/>
  <c r="AH529" i="1"/>
  <c r="AG529" i="1"/>
  <c r="AF529" i="1"/>
  <c r="AC529" i="1"/>
  <c r="AB529" i="1"/>
  <c r="Z529" i="1"/>
  <c r="J529" i="1"/>
  <c r="AL529" i="1" s="1"/>
  <c r="BJ526" i="1"/>
  <c r="BI526" i="1"/>
  <c r="AE526" i="1" s="1"/>
  <c r="BF526" i="1"/>
  <c r="BD526" i="1"/>
  <c r="AP526" i="1"/>
  <c r="AO526" i="1"/>
  <c r="AW526" i="1" s="1"/>
  <c r="AK526" i="1"/>
  <c r="AJ526" i="1"/>
  <c r="AH526" i="1"/>
  <c r="AG526" i="1"/>
  <c r="AF526" i="1"/>
  <c r="AC526" i="1"/>
  <c r="AB526" i="1"/>
  <c r="Z526" i="1"/>
  <c r="J526" i="1"/>
  <c r="AL526" i="1" s="1"/>
  <c r="BJ524" i="1"/>
  <c r="BF524" i="1"/>
  <c r="BD524" i="1"/>
  <c r="AP524" i="1"/>
  <c r="AX524" i="1" s="1"/>
  <c r="AO524" i="1"/>
  <c r="AK524" i="1"/>
  <c r="AJ524" i="1"/>
  <c r="AH524" i="1"/>
  <c r="AG524" i="1"/>
  <c r="AF524" i="1"/>
  <c r="AC524" i="1"/>
  <c r="AB524" i="1"/>
  <c r="Z524" i="1"/>
  <c r="J524" i="1"/>
  <c r="AL524" i="1" s="1"/>
  <c r="I524" i="1"/>
  <c r="BJ521" i="1"/>
  <c r="BH521" i="1"/>
  <c r="AD521" i="1" s="1"/>
  <c r="BF521" i="1"/>
  <c r="BD521" i="1"/>
  <c r="AW521" i="1"/>
  <c r="AP521" i="1"/>
  <c r="BI521" i="1" s="1"/>
  <c r="AE521" i="1" s="1"/>
  <c r="AO521" i="1"/>
  <c r="H521" i="1" s="1"/>
  <c r="AL521" i="1"/>
  <c r="AK521" i="1"/>
  <c r="AJ521" i="1"/>
  <c r="AH521" i="1"/>
  <c r="AG521" i="1"/>
  <c r="AF521" i="1"/>
  <c r="AC521" i="1"/>
  <c r="AB521" i="1"/>
  <c r="Z521" i="1"/>
  <c r="J521" i="1"/>
  <c r="I521" i="1"/>
  <c r="BJ519" i="1"/>
  <c r="BF519" i="1"/>
  <c r="BD519" i="1"/>
  <c r="AP519" i="1"/>
  <c r="I519" i="1" s="1"/>
  <c r="AO519" i="1"/>
  <c r="AK519" i="1"/>
  <c r="AJ519" i="1"/>
  <c r="AH519" i="1"/>
  <c r="AG519" i="1"/>
  <c r="AF519" i="1"/>
  <c r="AC519" i="1"/>
  <c r="AB519" i="1"/>
  <c r="Z519" i="1"/>
  <c r="J519" i="1"/>
  <c r="AL519" i="1" s="1"/>
  <c r="BJ516" i="1"/>
  <c r="BF516" i="1"/>
  <c r="BD516" i="1"/>
  <c r="AP516" i="1"/>
  <c r="BI516" i="1" s="1"/>
  <c r="AE516" i="1" s="1"/>
  <c r="AO516" i="1"/>
  <c r="AW516" i="1" s="1"/>
  <c r="AK516" i="1"/>
  <c r="AJ516" i="1"/>
  <c r="AH516" i="1"/>
  <c r="AG516" i="1"/>
  <c r="AF516" i="1"/>
  <c r="AC516" i="1"/>
  <c r="AB516" i="1"/>
  <c r="Z516" i="1"/>
  <c r="J516" i="1"/>
  <c r="AL516" i="1" s="1"/>
  <c r="H516" i="1"/>
  <c r="BJ515" i="1"/>
  <c r="BF515" i="1"/>
  <c r="BD515" i="1"/>
  <c r="AW515" i="1"/>
  <c r="AV515" i="1" s="1"/>
  <c r="AP515" i="1"/>
  <c r="AX515" i="1" s="1"/>
  <c r="AO515" i="1"/>
  <c r="BH515" i="1" s="1"/>
  <c r="AD515" i="1" s="1"/>
  <c r="AK515" i="1"/>
  <c r="AJ515" i="1"/>
  <c r="AH515" i="1"/>
  <c r="AG515" i="1"/>
  <c r="AF515" i="1"/>
  <c r="AC515" i="1"/>
  <c r="AB515" i="1"/>
  <c r="Z515" i="1"/>
  <c r="J515" i="1"/>
  <c r="AL515" i="1" s="1"/>
  <c r="BJ514" i="1"/>
  <c r="BF514" i="1"/>
  <c r="BD514" i="1"/>
  <c r="AP514" i="1"/>
  <c r="BI514" i="1" s="1"/>
  <c r="AE514" i="1" s="1"/>
  <c r="AO514" i="1"/>
  <c r="H514" i="1" s="1"/>
  <c r="AK514" i="1"/>
  <c r="AJ514" i="1"/>
  <c r="AH514" i="1"/>
  <c r="AG514" i="1"/>
  <c r="AF514" i="1"/>
  <c r="AC514" i="1"/>
  <c r="AB514" i="1"/>
  <c r="Z514" i="1"/>
  <c r="J514" i="1"/>
  <c r="AL514" i="1" s="1"/>
  <c r="BJ511" i="1"/>
  <c r="BI511" i="1"/>
  <c r="AE511" i="1" s="1"/>
  <c r="BF511" i="1"/>
  <c r="BD511" i="1"/>
  <c r="AP511" i="1"/>
  <c r="I511" i="1" s="1"/>
  <c r="AO511" i="1"/>
  <c r="BH511" i="1" s="1"/>
  <c r="AD511" i="1" s="1"/>
  <c r="AK511" i="1"/>
  <c r="AJ511" i="1"/>
  <c r="AH511" i="1"/>
  <c r="AG511" i="1"/>
  <c r="AF511" i="1"/>
  <c r="AC511" i="1"/>
  <c r="AB511" i="1"/>
  <c r="Z511" i="1"/>
  <c r="J511" i="1"/>
  <c r="AL511" i="1" s="1"/>
  <c r="BJ507" i="1"/>
  <c r="BF507" i="1"/>
  <c r="BD507" i="1"/>
  <c r="AP507" i="1"/>
  <c r="AO507" i="1"/>
  <c r="AW507" i="1" s="1"/>
  <c r="AK507" i="1"/>
  <c r="AJ507" i="1"/>
  <c r="AH507" i="1"/>
  <c r="AG507" i="1"/>
  <c r="AF507" i="1"/>
  <c r="AC507" i="1"/>
  <c r="AB507" i="1"/>
  <c r="Z507" i="1"/>
  <c r="J507" i="1"/>
  <c r="AL507" i="1" s="1"/>
  <c r="BJ503" i="1"/>
  <c r="BF503" i="1"/>
  <c r="BD503" i="1"/>
  <c r="AP503" i="1"/>
  <c r="AX503" i="1" s="1"/>
  <c r="AO503" i="1"/>
  <c r="BH503" i="1" s="1"/>
  <c r="AD503" i="1" s="1"/>
  <c r="AL503" i="1"/>
  <c r="AK503" i="1"/>
  <c r="AJ503" i="1"/>
  <c r="AH503" i="1"/>
  <c r="AG503" i="1"/>
  <c r="AF503" i="1"/>
  <c r="AC503" i="1"/>
  <c r="AB503" i="1"/>
  <c r="Z503" i="1"/>
  <c r="J503" i="1"/>
  <c r="H503" i="1"/>
  <c r="BJ501" i="1"/>
  <c r="Z501" i="1" s="1"/>
  <c r="BF501" i="1"/>
  <c r="BD501" i="1"/>
  <c r="AP501" i="1"/>
  <c r="AO501" i="1"/>
  <c r="AW501" i="1" s="1"/>
  <c r="AK501" i="1"/>
  <c r="AJ501" i="1"/>
  <c r="AH501" i="1"/>
  <c r="AG501" i="1"/>
  <c r="AF501" i="1"/>
  <c r="AE501" i="1"/>
  <c r="AD501" i="1"/>
  <c r="AC501" i="1"/>
  <c r="AB501" i="1"/>
  <c r="J501" i="1"/>
  <c r="AL501" i="1" s="1"/>
  <c r="H501" i="1"/>
  <c r="BJ500" i="1"/>
  <c r="BF500" i="1"/>
  <c r="BD500" i="1"/>
  <c r="AP500" i="1"/>
  <c r="I500" i="1" s="1"/>
  <c r="AO500" i="1"/>
  <c r="AL500" i="1"/>
  <c r="AK500" i="1"/>
  <c r="AJ500" i="1"/>
  <c r="AH500" i="1"/>
  <c r="AG500" i="1"/>
  <c r="AF500" i="1"/>
  <c r="AC500" i="1"/>
  <c r="AB500" i="1"/>
  <c r="Z500" i="1"/>
  <c r="J500" i="1"/>
  <c r="BJ499" i="1"/>
  <c r="BF499" i="1"/>
  <c r="BD499" i="1"/>
  <c r="AP499" i="1"/>
  <c r="AO499" i="1"/>
  <c r="BH499" i="1" s="1"/>
  <c r="AD499" i="1" s="1"/>
  <c r="AK499" i="1"/>
  <c r="AJ499" i="1"/>
  <c r="AH499" i="1"/>
  <c r="AG499" i="1"/>
  <c r="AF499" i="1"/>
  <c r="AC499" i="1"/>
  <c r="AB499" i="1"/>
  <c r="Z499" i="1"/>
  <c r="J499" i="1"/>
  <c r="AL499" i="1" s="1"/>
  <c r="BJ498" i="1"/>
  <c r="BF498" i="1"/>
  <c r="BD498" i="1"/>
  <c r="AW498" i="1"/>
  <c r="AP498" i="1"/>
  <c r="BI498" i="1" s="1"/>
  <c r="AE498" i="1" s="1"/>
  <c r="AO498" i="1"/>
  <c r="BH498" i="1" s="1"/>
  <c r="AD498" i="1" s="1"/>
  <c r="AK498" i="1"/>
  <c r="AJ498" i="1"/>
  <c r="AH498" i="1"/>
  <c r="AG498" i="1"/>
  <c r="AF498" i="1"/>
  <c r="AC498" i="1"/>
  <c r="AB498" i="1"/>
  <c r="Z498" i="1"/>
  <c r="J498" i="1"/>
  <c r="H498" i="1"/>
  <c r="BJ496" i="1"/>
  <c r="Z496" i="1" s="1"/>
  <c r="BF496" i="1"/>
  <c r="BD496" i="1"/>
  <c r="AP496" i="1"/>
  <c r="BI496" i="1" s="1"/>
  <c r="AO496" i="1"/>
  <c r="AK496" i="1"/>
  <c r="AJ496" i="1"/>
  <c r="AH496" i="1"/>
  <c r="AG496" i="1"/>
  <c r="AF496" i="1"/>
  <c r="AE496" i="1"/>
  <c r="AD496" i="1"/>
  <c r="AC496" i="1"/>
  <c r="AB496" i="1"/>
  <c r="J496" i="1"/>
  <c r="AL496" i="1" s="1"/>
  <c r="I496" i="1"/>
  <c r="BJ493" i="1"/>
  <c r="BF493" i="1"/>
  <c r="BD493" i="1"/>
  <c r="AW493" i="1"/>
  <c r="AP493" i="1"/>
  <c r="BI493" i="1" s="1"/>
  <c r="AE493" i="1" s="1"/>
  <c r="AO493" i="1"/>
  <c r="BH493" i="1" s="1"/>
  <c r="AD493" i="1" s="1"/>
  <c r="AK493" i="1"/>
  <c r="AJ493" i="1"/>
  <c r="AH493" i="1"/>
  <c r="AG493" i="1"/>
  <c r="AF493" i="1"/>
  <c r="AC493" i="1"/>
  <c r="AB493" i="1"/>
  <c r="Z493" i="1"/>
  <c r="J493" i="1"/>
  <c r="AL493" i="1" s="1"/>
  <c r="H493" i="1"/>
  <c r="BJ489" i="1"/>
  <c r="BF489" i="1"/>
  <c r="BD489" i="1"/>
  <c r="AX489" i="1"/>
  <c r="AP489" i="1"/>
  <c r="BI489" i="1" s="1"/>
  <c r="AE489" i="1" s="1"/>
  <c r="AO489" i="1"/>
  <c r="AW489" i="1" s="1"/>
  <c r="AV489" i="1" s="1"/>
  <c r="AL489" i="1"/>
  <c r="AK489" i="1"/>
  <c r="AT488" i="1" s="1"/>
  <c r="AJ489" i="1"/>
  <c r="AS488" i="1" s="1"/>
  <c r="AH489" i="1"/>
  <c r="AG489" i="1"/>
  <c r="AF489" i="1"/>
  <c r="AC489" i="1"/>
  <c r="AB489" i="1"/>
  <c r="Z489" i="1"/>
  <c r="J489" i="1"/>
  <c r="I489" i="1"/>
  <c r="BJ487" i="1"/>
  <c r="BF487" i="1"/>
  <c r="BD487" i="1"/>
  <c r="AP487" i="1"/>
  <c r="AO487" i="1"/>
  <c r="AK487" i="1"/>
  <c r="AJ487" i="1"/>
  <c r="AH487" i="1"/>
  <c r="AG487" i="1"/>
  <c r="AF487" i="1"/>
  <c r="AE487" i="1"/>
  <c r="AD487" i="1"/>
  <c r="AC487" i="1"/>
  <c r="AB487" i="1"/>
  <c r="Z487" i="1"/>
  <c r="J487" i="1"/>
  <c r="AL487" i="1" s="1"/>
  <c r="BJ486" i="1"/>
  <c r="BF486" i="1"/>
  <c r="BD486" i="1"/>
  <c r="AP486" i="1"/>
  <c r="AX486" i="1" s="1"/>
  <c r="AO486" i="1"/>
  <c r="AW486" i="1" s="1"/>
  <c r="AL486" i="1"/>
  <c r="AK486" i="1"/>
  <c r="AJ486" i="1"/>
  <c r="AH486" i="1"/>
  <c r="AG486" i="1"/>
  <c r="AF486" i="1"/>
  <c r="AC486" i="1"/>
  <c r="AB486" i="1"/>
  <c r="Z486" i="1"/>
  <c r="J486" i="1"/>
  <c r="BJ484" i="1"/>
  <c r="BF484" i="1"/>
  <c r="BD484" i="1"/>
  <c r="AP484" i="1"/>
  <c r="AX484" i="1" s="1"/>
  <c r="AO484" i="1"/>
  <c r="AW484" i="1" s="1"/>
  <c r="AL484" i="1"/>
  <c r="AK484" i="1"/>
  <c r="AJ484" i="1"/>
  <c r="AH484" i="1"/>
  <c r="AG484" i="1"/>
  <c r="AF484" i="1"/>
  <c r="AC484" i="1"/>
  <c r="AB484" i="1"/>
  <c r="Z484" i="1"/>
  <c r="J484" i="1"/>
  <c r="BJ482" i="1"/>
  <c r="BF482" i="1"/>
  <c r="BD482" i="1"/>
  <c r="AP482" i="1"/>
  <c r="AX482" i="1" s="1"/>
  <c r="AO482" i="1"/>
  <c r="AW482" i="1" s="1"/>
  <c r="AL482" i="1"/>
  <c r="AK482" i="1"/>
  <c r="AJ482" i="1"/>
  <c r="AH482" i="1"/>
  <c r="AG482" i="1"/>
  <c r="AF482" i="1"/>
  <c r="AC482" i="1"/>
  <c r="AB482" i="1"/>
  <c r="Z482" i="1"/>
  <c r="J482" i="1"/>
  <c r="BJ480" i="1"/>
  <c r="BF480" i="1"/>
  <c r="BD480" i="1"/>
  <c r="AP480" i="1"/>
  <c r="AX480" i="1" s="1"/>
  <c r="AO480" i="1"/>
  <c r="BH480" i="1" s="1"/>
  <c r="AD480" i="1" s="1"/>
  <c r="AL480" i="1"/>
  <c r="AK480" i="1"/>
  <c r="AJ480" i="1"/>
  <c r="AH480" i="1"/>
  <c r="AG480" i="1"/>
  <c r="AF480" i="1"/>
  <c r="AC480" i="1"/>
  <c r="AB480" i="1"/>
  <c r="Z480" i="1"/>
  <c r="J480" i="1"/>
  <c r="BJ478" i="1"/>
  <c r="BF478" i="1"/>
  <c r="BD478" i="1"/>
  <c r="AP478" i="1"/>
  <c r="BI478" i="1" s="1"/>
  <c r="AE478" i="1" s="1"/>
  <c r="AO478" i="1"/>
  <c r="H478" i="1" s="1"/>
  <c r="AK478" i="1"/>
  <c r="AJ478" i="1"/>
  <c r="AH478" i="1"/>
  <c r="AG478" i="1"/>
  <c r="AF478" i="1"/>
  <c r="AC478" i="1"/>
  <c r="AB478" i="1"/>
  <c r="Z478" i="1"/>
  <c r="J478" i="1"/>
  <c r="AL478" i="1" s="1"/>
  <c r="BJ476" i="1"/>
  <c r="BF476" i="1"/>
  <c r="BD476" i="1"/>
  <c r="AP476" i="1"/>
  <c r="I476" i="1" s="1"/>
  <c r="AO476" i="1"/>
  <c r="AK476" i="1"/>
  <c r="AJ476" i="1"/>
  <c r="AH476" i="1"/>
  <c r="AG476" i="1"/>
  <c r="AF476" i="1"/>
  <c r="AC476" i="1"/>
  <c r="AB476" i="1"/>
  <c r="Z476" i="1"/>
  <c r="J476" i="1"/>
  <c r="AL476" i="1" s="1"/>
  <c r="BJ474" i="1"/>
  <c r="BF474" i="1"/>
  <c r="BD474" i="1"/>
  <c r="AP474" i="1"/>
  <c r="BI474" i="1" s="1"/>
  <c r="AE474" i="1" s="1"/>
  <c r="AO474" i="1"/>
  <c r="BH474" i="1" s="1"/>
  <c r="AD474" i="1" s="1"/>
  <c r="AK474" i="1"/>
  <c r="AJ474" i="1"/>
  <c r="AH474" i="1"/>
  <c r="AG474" i="1"/>
  <c r="AF474" i="1"/>
  <c r="AC474" i="1"/>
  <c r="AB474" i="1"/>
  <c r="Z474" i="1"/>
  <c r="J474" i="1"/>
  <c r="AL474" i="1" s="1"/>
  <c r="BJ471" i="1"/>
  <c r="BF471" i="1"/>
  <c r="BD471" i="1"/>
  <c r="AX471" i="1"/>
  <c r="AW471" i="1"/>
  <c r="AP471" i="1"/>
  <c r="BI471" i="1" s="1"/>
  <c r="AE471" i="1" s="1"/>
  <c r="AO471" i="1"/>
  <c r="BH471" i="1" s="1"/>
  <c r="AD471" i="1" s="1"/>
  <c r="AK471" i="1"/>
  <c r="AJ471" i="1"/>
  <c r="AH471" i="1"/>
  <c r="AG471" i="1"/>
  <c r="AF471" i="1"/>
  <c r="AC471" i="1"/>
  <c r="AB471" i="1"/>
  <c r="Z471" i="1"/>
  <c r="J471" i="1"/>
  <c r="I471" i="1"/>
  <c r="H471" i="1"/>
  <c r="BJ469" i="1"/>
  <c r="Z469" i="1" s="1"/>
  <c r="BF469" i="1"/>
  <c r="BD469" i="1"/>
  <c r="AP469" i="1"/>
  <c r="BI469" i="1" s="1"/>
  <c r="AO469" i="1"/>
  <c r="AK469" i="1"/>
  <c r="AJ469" i="1"/>
  <c r="AH469" i="1"/>
  <c r="AG469" i="1"/>
  <c r="AF469" i="1"/>
  <c r="AE469" i="1"/>
  <c r="AD469" i="1"/>
  <c r="AC469" i="1"/>
  <c r="AB469" i="1"/>
  <c r="J469" i="1"/>
  <c r="AL469" i="1" s="1"/>
  <c r="I469" i="1"/>
  <c r="BJ467" i="1"/>
  <c r="BF467" i="1"/>
  <c r="BD467" i="1"/>
  <c r="AW467" i="1"/>
  <c r="AP467" i="1"/>
  <c r="BI467" i="1" s="1"/>
  <c r="AE467" i="1" s="1"/>
  <c r="AO467" i="1"/>
  <c r="BH467" i="1" s="1"/>
  <c r="AD467" i="1" s="1"/>
  <c r="AK467" i="1"/>
  <c r="AJ467" i="1"/>
  <c r="AH467" i="1"/>
  <c r="AG467" i="1"/>
  <c r="AF467" i="1"/>
  <c r="AC467" i="1"/>
  <c r="AB467" i="1"/>
  <c r="Z467" i="1"/>
  <c r="J467" i="1"/>
  <c r="H467" i="1"/>
  <c r="BJ464" i="1"/>
  <c r="BF464" i="1"/>
  <c r="BD464" i="1"/>
  <c r="AP464" i="1"/>
  <c r="BI464" i="1" s="1"/>
  <c r="AE464" i="1" s="1"/>
  <c r="AO464" i="1"/>
  <c r="AK464" i="1"/>
  <c r="AJ464" i="1"/>
  <c r="AH464" i="1"/>
  <c r="AG464" i="1"/>
  <c r="AF464" i="1"/>
  <c r="AC464" i="1"/>
  <c r="AB464" i="1"/>
  <c r="Z464" i="1"/>
  <c r="J464" i="1"/>
  <c r="AL464" i="1" s="1"/>
  <c r="BJ459" i="1"/>
  <c r="BF459" i="1"/>
  <c r="BD459" i="1"/>
  <c r="AP459" i="1"/>
  <c r="AO459" i="1"/>
  <c r="AW459" i="1" s="1"/>
  <c r="AL459" i="1"/>
  <c r="AK459" i="1"/>
  <c r="AJ459" i="1"/>
  <c r="AH459" i="1"/>
  <c r="AG459" i="1"/>
  <c r="AF459" i="1"/>
  <c r="AC459" i="1"/>
  <c r="AB459" i="1"/>
  <c r="Z459" i="1"/>
  <c r="J459" i="1"/>
  <c r="BJ455" i="1"/>
  <c r="BF455" i="1"/>
  <c r="BD455" i="1"/>
  <c r="AP455" i="1"/>
  <c r="AX455" i="1" s="1"/>
  <c r="AO455" i="1"/>
  <c r="AW455" i="1" s="1"/>
  <c r="AL455" i="1"/>
  <c r="AK455" i="1"/>
  <c r="AJ455" i="1"/>
  <c r="AS454" i="1" s="1"/>
  <c r="AH455" i="1"/>
  <c r="AG455" i="1"/>
  <c r="AF455" i="1"/>
  <c r="AC455" i="1"/>
  <c r="AB455" i="1"/>
  <c r="Z455" i="1"/>
  <c r="J455" i="1"/>
  <c r="BJ453" i="1"/>
  <c r="Z453" i="1" s="1"/>
  <c r="BF453" i="1"/>
  <c r="BD453" i="1"/>
  <c r="AP453" i="1"/>
  <c r="AO453" i="1"/>
  <c r="AW453" i="1" s="1"/>
  <c r="AL453" i="1"/>
  <c r="AK453" i="1"/>
  <c r="AJ453" i="1"/>
  <c r="AH453" i="1"/>
  <c r="AG453" i="1"/>
  <c r="AF453" i="1"/>
  <c r="AE453" i="1"/>
  <c r="AD453" i="1"/>
  <c r="AC453" i="1"/>
  <c r="AB453" i="1"/>
  <c r="J453" i="1"/>
  <c r="BJ450" i="1"/>
  <c r="BF450" i="1"/>
  <c r="BD450" i="1"/>
  <c r="AP450" i="1"/>
  <c r="AX450" i="1" s="1"/>
  <c r="AO450" i="1"/>
  <c r="AW450" i="1" s="1"/>
  <c r="AL450" i="1"/>
  <c r="AK450" i="1"/>
  <c r="AJ450" i="1"/>
  <c r="AH450" i="1"/>
  <c r="AG450" i="1"/>
  <c r="AF450" i="1"/>
  <c r="AC450" i="1"/>
  <c r="AB450" i="1"/>
  <c r="Z450" i="1"/>
  <c r="J450" i="1"/>
  <c r="BJ448" i="1"/>
  <c r="BF448" i="1"/>
  <c r="BD448" i="1"/>
  <c r="AP448" i="1"/>
  <c r="AX448" i="1" s="1"/>
  <c r="AO448" i="1"/>
  <c r="BH448" i="1" s="1"/>
  <c r="AD448" i="1" s="1"/>
  <c r="AL448" i="1"/>
  <c r="AK448" i="1"/>
  <c r="AJ448" i="1"/>
  <c r="AS447" i="1" s="1"/>
  <c r="AH448" i="1"/>
  <c r="AG448" i="1"/>
  <c r="AF448" i="1"/>
  <c r="AC448" i="1"/>
  <c r="AB448" i="1"/>
  <c r="Z448" i="1"/>
  <c r="J448" i="1"/>
  <c r="J447" i="1"/>
  <c r="G44" i="2" s="1"/>
  <c r="I44" i="2" s="1"/>
  <c r="BJ446" i="1"/>
  <c r="Z446" i="1" s="1"/>
  <c r="BF446" i="1"/>
  <c r="BD446" i="1"/>
  <c r="AP446" i="1"/>
  <c r="AX446" i="1" s="1"/>
  <c r="AO446" i="1"/>
  <c r="AW446" i="1" s="1"/>
  <c r="AL446" i="1"/>
  <c r="AK446" i="1"/>
  <c r="AJ446" i="1"/>
  <c r="AH446" i="1"/>
  <c r="AG446" i="1"/>
  <c r="AF446" i="1"/>
  <c r="AE446" i="1"/>
  <c r="AD446" i="1"/>
  <c r="AC446" i="1"/>
  <c r="AB446" i="1"/>
  <c r="J446" i="1"/>
  <c r="BJ445" i="1"/>
  <c r="BH445" i="1"/>
  <c r="AD445" i="1" s="1"/>
  <c r="BF445" i="1"/>
  <c r="BD445" i="1"/>
  <c r="AP445" i="1"/>
  <c r="AX445" i="1" s="1"/>
  <c r="AO445" i="1"/>
  <c r="AK445" i="1"/>
  <c r="AJ445" i="1"/>
  <c r="AH445" i="1"/>
  <c r="AG445" i="1"/>
  <c r="AF445" i="1"/>
  <c r="AC445" i="1"/>
  <c r="AB445" i="1"/>
  <c r="Z445" i="1"/>
  <c r="J445" i="1"/>
  <c r="AL445" i="1" s="1"/>
  <c r="AT444" i="1"/>
  <c r="AS444" i="1"/>
  <c r="J444" i="1"/>
  <c r="G43" i="2" s="1"/>
  <c r="I43" i="2" s="1"/>
  <c r="BJ443" i="1"/>
  <c r="Z443" i="1" s="1"/>
  <c r="BF443" i="1"/>
  <c r="BD443" i="1"/>
  <c r="AP443" i="1"/>
  <c r="AX443" i="1" s="1"/>
  <c r="AO443" i="1"/>
  <c r="AW443" i="1" s="1"/>
  <c r="AK443" i="1"/>
  <c r="AJ443" i="1"/>
  <c r="AH443" i="1"/>
  <c r="AG443" i="1"/>
  <c r="AF443" i="1"/>
  <c r="AE443" i="1"/>
  <c r="AD443" i="1"/>
  <c r="AC443" i="1"/>
  <c r="AB443" i="1"/>
  <c r="J443" i="1"/>
  <c r="AL443" i="1" s="1"/>
  <c r="BJ440" i="1"/>
  <c r="BF440" i="1"/>
  <c r="BD440" i="1"/>
  <c r="AP440" i="1"/>
  <c r="AX440" i="1" s="1"/>
  <c r="AO440" i="1"/>
  <c r="AK440" i="1"/>
  <c r="AJ440" i="1"/>
  <c r="AH440" i="1"/>
  <c r="AG440" i="1"/>
  <c r="AF440" i="1"/>
  <c r="AC440" i="1"/>
  <c r="AB440" i="1"/>
  <c r="Z440" i="1"/>
  <c r="J440" i="1"/>
  <c r="AL440" i="1" s="1"/>
  <c r="BJ436" i="1"/>
  <c r="BF436" i="1"/>
  <c r="BD436" i="1"/>
  <c r="AW436" i="1"/>
  <c r="AP436" i="1"/>
  <c r="AX436" i="1" s="1"/>
  <c r="AO436" i="1"/>
  <c r="H436" i="1" s="1"/>
  <c r="AK436" i="1"/>
  <c r="AT435" i="1" s="1"/>
  <c r="AJ436" i="1"/>
  <c r="AH436" i="1"/>
  <c r="AG436" i="1"/>
  <c r="AF436" i="1"/>
  <c r="AC436" i="1"/>
  <c r="AB436" i="1"/>
  <c r="Z436" i="1"/>
  <c r="J436" i="1"/>
  <c r="AL436" i="1" s="1"/>
  <c r="AS435" i="1"/>
  <c r="J435" i="1"/>
  <c r="G42" i="2" s="1"/>
  <c r="I42" i="2" s="1"/>
  <c r="BJ434" i="1"/>
  <c r="Z434" i="1" s="1"/>
  <c r="BF434" i="1"/>
  <c r="BD434" i="1"/>
  <c r="AP434" i="1"/>
  <c r="AX434" i="1" s="1"/>
  <c r="AO434" i="1"/>
  <c r="AL434" i="1"/>
  <c r="AK434" i="1"/>
  <c r="AJ434" i="1"/>
  <c r="AH434" i="1"/>
  <c r="AG434" i="1"/>
  <c r="AF434" i="1"/>
  <c r="AE434" i="1"/>
  <c r="AD434" i="1"/>
  <c r="AC434" i="1"/>
  <c r="AB434" i="1"/>
  <c r="J434" i="1"/>
  <c r="BJ431" i="1"/>
  <c r="BF431" i="1"/>
  <c r="BD431" i="1"/>
  <c r="AP431" i="1"/>
  <c r="AO431" i="1"/>
  <c r="H431" i="1" s="1"/>
  <c r="AL431" i="1"/>
  <c r="AK431" i="1"/>
  <c r="AJ431" i="1"/>
  <c r="AH431" i="1"/>
  <c r="AG431" i="1"/>
  <c r="AF431" i="1"/>
  <c r="AC431" i="1"/>
  <c r="AB431" i="1"/>
  <c r="Z431" i="1"/>
  <c r="J431" i="1"/>
  <c r="BJ428" i="1"/>
  <c r="BF428" i="1"/>
  <c r="BD428" i="1"/>
  <c r="AP428" i="1"/>
  <c r="I428" i="1" s="1"/>
  <c r="AO428" i="1"/>
  <c r="AK428" i="1"/>
  <c r="AJ428" i="1"/>
  <c r="AH428" i="1"/>
  <c r="AG428" i="1"/>
  <c r="AF428" i="1"/>
  <c r="AC428" i="1"/>
  <c r="AB428" i="1"/>
  <c r="Z428" i="1"/>
  <c r="J428" i="1"/>
  <c r="AL428" i="1" s="1"/>
  <c r="BJ425" i="1"/>
  <c r="BF425" i="1"/>
  <c r="BD425" i="1"/>
  <c r="AW425" i="1"/>
  <c r="AP425" i="1"/>
  <c r="AO425" i="1"/>
  <c r="BH425" i="1" s="1"/>
  <c r="AD425" i="1" s="1"/>
  <c r="AK425" i="1"/>
  <c r="AJ425" i="1"/>
  <c r="AH425" i="1"/>
  <c r="AG425" i="1"/>
  <c r="AF425" i="1"/>
  <c r="AC425" i="1"/>
  <c r="AB425" i="1"/>
  <c r="Z425" i="1"/>
  <c r="J425" i="1"/>
  <c r="AL425" i="1" s="1"/>
  <c r="H425" i="1"/>
  <c r="BJ423" i="1"/>
  <c r="BF423" i="1"/>
  <c r="BD423" i="1"/>
  <c r="AX423" i="1"/>
  <c r="AW423" i="1"/>
  <c r="AP423" i="1"/>
  <c r="BI423" i="1" s="1"/>
  <c r="AE423" i="1" s="1"/>
  <c r="AO423" i="1"/>
  <c r="BH423" i="1" s="1"/>
  <c r="AD423" i="1" s="1"/>
  <c r="AK423" i="1"/>
  <c r="AJ423" i="1"/>
  <c r="AH423" i="1"/>
  <c r="AG423" i="1"/>
  <c r="AF423" i="1"/>
  <c r="AC423" i="1"/>
  <c r="AB423" i="1"/>
  <c r="Z423" i="1"/>
  <c r="J423" i="1"/>
  <c r="AL423" i="1" s="1"/>
  <c r="I423" i="1"/>
  <c r="H423" i="1"/>
  <c r="BJ421" i="1"/>
  <c r="BF421" i="1"/>
  <c r="BD421" i="1"/>
  <c r="AX421" i="1"/>
  <c r="AP421" i="1"/>
  <c r="BI421" i="1" s="1"/>
  <c r="AE421" i="1" s="1"/>
  <c r="AO421" i="1"/>
  <c r="BH421" i="1" s="1"/>
  <c r="AD421" i="1" s="1"/>
  <c r="AK421" i="1"/>
  <c r="AJ421" i="1"/>
  <c r="AH421" i="1"/>
  <c r="AG421" i="1"/>
  <c r="AF421" i="1"/>
  <c r="AC421" i="1"/>
  <c r="AB421" i="1"/>
  <c r="Z421" i="1"/>
  <c r="J421" i="1"/>
  <c r="AL421" i="1" s="1"/>
  <c r="I421" i="1"/>
  <c r="H421" i="1"/>
  <c r="BJ419" i="1"/>
  <c r="BF419" i="1"/>
  <c r="BD419" i="1"/>
  <c r="AP419" i="1"/>
  <c r="AO419" i="1"/>
  <c r="BH419" i="1" s="1"/>
  <c r="AD419" i="1" s="1"/>
  <c r="AK419" i="1"/>
  <c r="AJ419" i="1"/>
  <c r="AH419" i="1"/>
  <c r="AG419" i="1"/>
  <c r="AF419" i="1"/>
  <c r="AC419" i="1"/>
  <c r="AB419" i="1"/>
  <c r="Z419" i="1"/>
  <c r="J419" i="1"/>
  <c r="AL419" i="1" s="1"/>
  <c r="I419" i="1"/>
  <c r="BJ418" i="1"/>
  <c r="BF418" i="1"/>
  <c r="BD418" i="1"/>
  <c r="AP418" i="1"/>
  <c r="BI418" i="1" s="1"/>
  <c r="AE418" i="1" s="1"/>
  <c r="AO418" i="1"/>
  <c r="AW418" i="1" s="1"/>
  <c r="AK418" i="1"/>
  <c r="AJ418" i="1"/>
  <c r="AH418" i="1"/>
  <c r="AG418" i="1"/>
  <c r="AF418" i="1"/>
  <c r="AC418" i="1"/>
  <c r="AB418" i="1"/>
  <c r="Z418" i="1"/>
  <c r="J418" i="1"/>
  <c r="AL418" i="1" s="1"/>
  <c r="H418" i="1"/>
  <c r="BJ415" i="1"/>
  <c r="BF415" i="1"/>
  <c r="BD415" i="1"/>
  <c r="AP415" i="1"/>
  <c r="AX415" i="1" s="1"/>
  <c r="AO415" i="1"/>
  <c r="AW415" i="1" s="1"/>
  <c r="AV415" i="1" s="1"/>
  <c r="AK415" i="1"/>
  <c r="AJ415" i="1"/>
  <c r="AH415" i="1"/>
  <c r="AG415" i="1"/>
  <c r="AF415" i="1"/>
  <c r="AC415" i="1"/>
  <c r="AB415" i="1"/>
  <c r="Z415" i="1"/>
  <c r="J415" i="1"/>
  <c r="AL415" i="1" s="1"/>
  <c r="I415" i="1"/>
  <c r="H415" i="1"/>
  <c r="BJ411" i="1"/>
  <c r="BF411" i="1"/>
  <c r="BD411" i="1"/>
  <c r="AP411" i="1"/>
  <c r="AX411" i="1" s="1"/>
  <c r="AO411" i="1"/>
  <c r="H411" i="1" s="1"/>
  <c r="AL411" i="1"/>
  <c r="AK411" i="1"/>
  <c r="AJ411" i="1"/>
  <c r="AH411" i="1"/>
  <c r="AG411" i="1"/>
  <c r="AF411" i="1"/>
  <c r="AC411" i="1"/>
  <c r="AB411" i="1"/>
  <c r="Z411" i="1"/>
  <c r="J411" i="1"/>
  <c r="I411" i="1"/>
  <c r="BJ408" i="1"/>
  <c r="BF408" i="1"/>
  <c r="BD408" i="1"/>
  <c r="AP408" i="1"/>
  <c r="I408" i="1" s="1"/>
  <c r="AO408" i="1"/>
  <c r="BH408" i="1" s="1"/>
  <c r="AD408" i="1" s="1"/>
  <c r="AK408" i="1"/>
  <c r="AJ408" i="1"/>
  <c r="AH408" i="1"/>
  <c r="AG408" i="1"/>
  <c r="AF408" i="1"/>
  <c r="AC408" i="1"/>
  <c r="AB408" i="1"/>
  <c r="Z408" i="1"/>
  <c r="J408" i="1"/>
  <c r="BJ405" i="1"/>
  <c r="BF405" i="1"/>
  <c r="BD405" i="1"/>
  <c r="AP405" i="1"/>
  <c r="BI405" i="1" s="1"/>
  <c r="AE405" i="1" s="1"/>
  <c r="AO405" i="1"/>
  <c r="BH405" i="1" s="1"/>
  <c r="AD405" i="1" s="1"/>
  <c r="AK405" i="1"/>
  <c r="AJ405" i="1"/>
  <c r="AH405" i="1"/>
  <c r="AG405" i="1"/>
  <c r="AF405" i="1"/>
  <c r="AC405" i="1"/>
  <c r="AB405" i="1"/>
  <c r="Z405" i="1"/>
  <c r="J405" i="1"/>
  <c r="AL405" i="1" s="1"/>
  <c r="I405" i="1"/>
  <c r="H405" i="1"/>
  <c r="BJ403" i="1"/>
  <c r="Z403" i="1" s="1"/>
  <c r="BF403" i="1"/>
  <c r="BD403" i="1"/>
  <c r="AP403" i="1"/>
  <c r="I403" i="1" s="1"/>
  <c r="I402" i="1" s="1"/>
  <c r="F40" i="2" s="1"/>
  <c r="AO403" i="1"/>
  <c r="AK403" i="1"/>
  <c r="AT402" i="1" s="1"/>
  <c r="AJ403" i="1"/>
  <c r="AS402" i="1" s="1"/>
  <c r="AH403" i="1"/>
  <c r="AG403" i="1"/>
  <c r="AF403" i="1"/>
  <c r="AE403" i="1"/>
  <c r="AD403" i="1"/>
  <c r="AC403" i="1"/>
  <c r="AB403" i="1"/>
  <c r="J403" i="1"/>
  <c r="BJ400" i="1"/>
  <c r="BF400" i="1"/>
  <c r="BD400" i="1"/>
  <c r="AP400" i="1"/>
  <c r="AO400" i="1"/>
  <c r="H400" i="1" s="1"/>
  <c r="AL400" i="1"/>
  <c r="AK400" i="1"/>
  <c r="AJ400" i="1"/>
  <c r="AH400" i="1"/>
  <c r="AG400" i="1"/>
  <c r="AF400" i="1"/>
  <c r="AE400" i="1"/>
  <c r="AD400" i="1"/>
  <c r="Z400" i="1"/>
  <c r="J400" i="1"/>
  <c r="BJ397" i="1"/>
  <c r="BI397" i="1"/>
  <c r="AC397" i="1" s="1"/>
  <c r="BF397" i="1"/>
  <c r="BD397" i="1"/>
  <c r="AX397" i="1"/>
  <c r="AP397" i="1"/>
  <c r="I397" i="1" s="1"/>
  <c r="AO397" i="1"/>
  <c r="BH397" i="1" s="1"/>
  <c r="AB397" i="1" s="1"/>
  <c r="AK397" i="1"/>
  <c r="AJ397" i="1"/>
  <c r="AH397" i="1"/>
  <c r="AG397" i="1"/>
  <c r="AF397" i="1"/>
  <c r="AE397" i="1"/>
  <c r="AD397" i="1"/>
  <c r="Z397" i="1"/>
  <c r="J397" i="1"/>
  <c r="AL397" i="1" s="1"/>
  <c r="H397" i="1"/>
  <c r="BJ394" i="1"/>
  <c r="BF394" i="1"/>
  <c r="BD394" i="1"/>
  <c r="AP394" i="1"/>
  <c r="AO394" i="1"/>
  <c r="H394" i="1" s="1"/>
  <c r="AK394" i="1"/>
  <c r="AJ394" i="1"/>
  <c r="AH394" i="1"/>
  <c r="AG394" i="1"/>
  <c r="AF394" i="1"/>
  <c r="AE394" i="1"/>
  <c r="AD394" i="1"/>
  <c r="Z394" i="1"/>
  <c r="J394" i="1"/>
  <c r="AL394" i="1" s="1"/>
  <c r="I394" i="1"/>
  <c r="BJ391" i="1"/>
  <c r="BF391" i="1"/>
  <c r="BD391" i="1"/>
  <c r="AX391" i="1"/>
  <c r="AW391" i="1"/>
  <c r="AP391" i="1"/>
  <c r="BI391" i="1" s="1"/>
  <c r="AC391" i="1" s="1"/>
  <c r="AO391" i="1"/>
  <c r="H391" i="1" s="1"/>
  <c r="AK391" i="1"/>
  <c r="AJ391" i="1"/>
  <c r="AH391" i="1"/>
  <c r="AG391" i="1"/>
  <c r="AF391" i="1"/>
  <c r="AE391" i="1"/>
  <c r="AD391" i="1"/>
  <c r="Z391" i="1"/>
  <c r="J391" i="1"/>
  <c r="AL391" i="1" s="1"/>
  <c r="I391" i="1"/>
  <c r="BJ389" i="1"/>
  <c r="BF389" i="1"/>
  <c r="BD389" i="1"/>
  <c r="AX389" i="1"/>
  <c r="AP389" i="1"/>
  <c r="I389" i="1" s="1"/>
  <c r="AO389" i="1"/>
  <c r="AW389" i="1" s="1"/>
  <c r="AK389" i="1"/>
  <c r="AJ389" i="1"/>
  <c r="AH389" i="1"/>
  <c r="AG389" i="1"/>
  <c r="AF389" i="1"/>
  <c r="AE389" i="1"/>
  <c r="AD389" i="1"/>
  <c r="Z389" i="1"/>
  <c r="J389" i="1"/>
  <c r="AL389" i="1" s="1"/>
  <c r="BJ387" i="1"/>
  <c r="BF387" i="1"/>
  <c r="BD387" i="1"/>
  <c r="AP387" i="1"/>
  <c r="AX387" i="1" s="1"/>
  <c r="AO387" i="1"/>
  <c r="AW387" i="1" s="1"/>
  <c r="AK387" i="1"/>
  <c r="AJ387" i="1"/>
  <c r="AH387" i="1"/>
  <c r="AG387" i="1"/>
  <c r="AF387" i="1"/>
  <c r="AE387" i="1"/>
  <c r="AD387" i="1"/>
  <c r="Z387" i="1"/>
  <c r="J387" i="1"/>
  <c r="AL387" i="1" s="1"/>
  <c r="BJ385" i="1"/>
  <c r="BF385" i="1"/>
  <c r="BD385" i="1"/>
  <c r="AP385" i="1"/>
  <c r="AX385" i="1" s="1"/>
  <c r="AO385" i="1"/>
  <c r="BH385" i="1" s="1"/>
  <c r="AB385" i="1" s="1"/>
  <c r="AK385" i="1"/>
  <c r="AJ385" i="1"/>
  <c r="AH385" i="1"/>
  <c r="AG385" i="1"/>
  <c r="AF385" i="1"/>
  <c r="AE385" i="1"/>
  <c r="AD385" i="1"/>
  <c r="Z385" i="1"/>
  <c r="J385" i="1"/>
  <c r="AL385" i="1" s="1"/>
  <c r="AS384" i="1"/>
  <c r="J384" i="1"/>
  <c r="G39" i="2" s="1"/>
  <c r="I39" i="2" s="1"/>
  <c r="BJ373" i="1"/>
  <c r="BF373" i="1"/>
  <c r="BD373" i="1"/>
  <c r="AP373" i="1"/>
  <c r="AX373" i="1" s="1"/>
  <c r="AO373" i="1"/>
  <c r="AW373" i="1" s="1"/>
  <c r="AK373" i="1"/>
  <c r="AJ373" i="1"/>
  <c r="AH373" i="1"/>
  <c r="AG373" i="1"/>
  <c r="AF373" i="1"/>
  <c r="AE373" i="1"/>
  <c r="AD373" i="1"/>
  <c r="Z373" i="1"/>
  <c r="J373" i="1"/>
  <c r="AL373" i="1" s="1"/>
  <c r="BJ363" i="1"/>
  <c r="BF363" i="1"/>
  <c r="BD363" i="1"/>
  <c r="AW363" i="1"/>
  <c r="AP363" i="1"/>
  <c r="AX363" i="1" s="1"/>
  <c r="AV363" i="1" s="1"/>
  <c r="AO363" i="1"/>
  <c r="BH363" i="1" s="1"/>
  <c r="AB363" i="1" s="1"/>
  <c r="AK363" i="1"/>
  <c r="AJ363" i="1"/>
  <c r="AH363" i="1"/>
  <c r="AG363" i="1"/>
  <c r="AF363" i="1"/>
  <c r="AE363" i="1"/>
  <c r="AD363" i="1"/>
  <c r="Z363" i="1"/>
  <c r="J363" i="1"/>
  <c r="AL363" i="1" s="1"/>
  <c r="H363" i="1"/>
  <c r="BJ353" i="1"/>
  <c r="BF353" i="1"/>
  <c r="BD353" i="1"/>
  <c r="AX353" i="1"/>
  <c r="AP353" i="1"/>
  <c r="BI353" i="1" s="1"/>
  <c r="AC353" i="1" s="1"/>
  <c r="AO353" i="1"/>
  <c r="BH353" i="1" s="1"/>
  <c r="AB353" i="1" s="1"/>
  <c r="AK353" i="1"/>
  <c r="AJ353" i="1"/>
  <c r="AH353" i="1"/>
  <c r="AG353" i="1"/>
  <c r="AF353" i="1"/>
  <c r="AE353" i="1"/>
  <c r="AD353" i="1"/>
  <c r="Z353" i="1"/>
  <c r="J353" i="1"/>
  <c r="AL353" i="1" s="1"/>
  <c r="I353" i="1"/>
  <c r="H353" i="1"/>
  <c r="BJ350" i="1"/>
  <c r="BF350" i="1"/>
  <c r="BD350" i="1"/>
  <c r="AP350" i="1"/>
  <c r="AO350" i="1"/>
  <c r="BH350" i="1" s="1"/>
  <c r="AB350" i="1" s="1"/>
  <c r="AK350" i="1"/>
  <c r="AJ350" i="1"/>
  <c r="AH350" i="1"/>
  <c r="AG350" i="1"/>
  <c r="AF350" i="1"/>
  <c r="AE350" i="1"/>
  <c r="AD350" i="1"/>
  <c r="Z350" i="1"/>
  <c r="J350" i="1"/>
  <c r="AL350" i="1" s="1"/>
  <c r="BJ341" i="1"/>
  <c r="BF341" i="1"/>
  <c r="BD341" i="1"/>
  <c r="AP341" i="1"/>
  <c r="BI341" i="1" s="1"/>
  <c r="AC341" i="1" s="1"/>
  <c r="AO341" i="1"/>
  <c r="BH341" i="1" s="1"/>
  <c r="AB341" i="1" s="1"/>
  <c r="AK341" i="1"/>
  <c r="AT340" i="1" s="1"/>
  <c r="AJ341" i="1"/>
  <c r="AH341" i="1"/>
  <c r="AG341" i="1"/>
  <c r="AF341" i="1"/>
  <c r="AE341" i="1"/>
  <c r="AD341" i="1"/>
  <c r="Z341" i="1"/>
  <c r="J341" i="1"/>
  <c r="AL341" i="1" s="1"/>
  <c r="H341" i="1"/>
  <c r="BJ336" i="1"/>
  <c r="BF336" i="1"/>
  <c r="BD336" i="1"/>
  <c r="AP336" i="1"/>
  <c r="BI336" i="1" s="1"/>
  <c r="AC336" i="1" s="1"/>
  <c r="AO336" i="1"/>
  <c r="BH336" i="1" s="1"/>
  <c r="AB336" i="1" s="1"/>
  <c r="AK336" i="1"/>
  <c r="AJ336" i="1"/>
  <c r="AH336" i="1"/>
  <c r="AG336" i="1"/>
  <c r="AF336" i="1"/>
  <c r="AE336" i="1"/>
  <c r="AD336" i="1"/>
  <c r="Z336" i="1"/>
  <c r="J336" i="1"/>
  <c r="AL336" i="1" s="1"/>
  <c r="BJ324" i="1"/>
  <c r="BF324" i="1"/>
  <c r="BD324" i="1"/>
  <c r="AP324" i="1"/>
  <c r="BI324" i="1" s="1"/>
  <c r="AC324" i="1" s="1"/>
  <c r="AO324" i="1"/>
  <c r="BH324" i="1" s="1"/>
  <c r="AB324" i="1" s="1"/>
  <c r="AK324" i="1"/>
  <c r="AJ324" i="1"/>
  <c r="AH324" i="1"/>
  <c r="AG324" i="1"/>
  <c r="AF324" i="1"/>
  <c r="AE324" i="1"/>
  <c r="AD324" i="1"/>
  <c r="Z324" i="1"/>
  <c r="J324" i="1"/>
  <c r="AL324" i="1" s="1"/>
  <c r="H324" i="1"/>
  <c r="BJ321" i="1"/>
  <c r="BF321" i="1"/>
  <c r="BD321" i="1"/>
  <c r="AW321" i="1"/>
  <c r="AP321" i="1"/>
  <c r="BI321" i="1" s="1"/>
  <c r="AC321" i="1" s="1"/>
  <c r="AO321" i="1"/>
  <c r="BH321" i="1" s="1"/>
  <c r="AB321" i="1" s="1"/>
  <c r="AK321" i="1"/>
  <c r="AJ321" i="1"/>
  <c r="AS317" i="1" s="1"/>
  <c r="AH321" i="1"/>
  <c r="AG321" i="1"/>
  <c r="AF321" i="1"/>
  <c r="AE321" i="1"/>
  <c r="AD321" i="1"/>
  <c r="Z321" i="1"/>
  <c r="J321" i="1"/>
  <c r="AL321" i="1" s="1"/>
  <c r="H321" i="1"/>
  <c r="BJ318" i="1"/>
  <c r="BF318" i="1"/>
  <c r="BD318" i="1"/>
  <c r="AP318" i="1"/>
  <c r="BI318" i="1" s="1"/>
  <c r="AC318" i="1" s="1"/>
  <c r="AO318" i="1"/>
  <c r="AK318" i="1"/>
  <c r="AJ318" i="1"/>
  <c r="AH318" i="1"/>
  <c r="AG318" i="1"/>
  <c r="AF318" i="1"/>
  <c r="AE318" i="1"/>
  <c r="AD318" i="1"/>
  <c r="Z318" i="1"/>
  <c r="J318" i="1"/>
  <c r="I318" i="1"/>
  <c r="BJ316" i="1"/>
  <c r="BF316" i="1"/>
  <c r="BD316" i="1"/>
  <c r="AW316" i="1"/>
  <c r="AP316" i="1"/>
  <c r="BI316" i="1" s="1"/>
  <c r="AC316" i="1" s="1"/>
  <c r="AO316" i="1"/>
  <c r="BH316" i="1" s="1"/>
  <c r="AB316" i="1" s="1"/>
  <c r="AK316" i="1"/>
  <c r="AJ316" i="1"/>
  <c r="AH316" i="1"/>
  <c r="AG316" i="1"/>
  <c r="AF316" i="1"/>
  <c r="AE316" i="1"/>
  <c r="AD316" i="1"/>
  <c r="Z316" i="1"/>
  <c r="J316" i="1"/>
  <c r="BJ313" i="1"/>
  <c r="BF313" i="1"/>
  <c r="BD313" i="1"/>
  <c r="AX313" i="1"/>
  <c r="AP313" i="1"/>
  <c r="BI313" i="1" s="1"/>
  <c r="AC313" i="1" s="1"/>
  <c r="AO313" i="1"/>
  <c r="H313" i="1" s="1"/>
  <c r="AL313" i="1"/>
  <c r="AK313" i="1"/>
  <c r="AJ313" i="1"/>
  <c r="AH313" i="1"/>
  <c r="AG313" i="1"/>
  <c r="AF313" i="1"/>
  <c r="AE313" i="1"/>
  <c r="AD313" i="1"/>
  <c r="Z313" i="1"/>
  <c r="J313" i="1"/>
  <c r="I313" i="1"/>
  <c r="BJ312" i="1"/>
  <c r="BF312" i="1"/>
  <c r="BD312" i="1"/>
  <c r="AP312" i="1"/>
  <c r="I312" i="1" s="1"/>
  <c r="AO312" i="1"/>
  <c r="AW312" i="1" s="1"/>
  <c r="AK312" i="1"/>
  <c r="AJ312" i="1"/>
  <c r="AH312" i="1"/>
  <c r="AG312" i="1"/>
  <c r="AF312" i="1"/>
  <c r="AE312" i="1"/>
  <c r="AD312" i="1"/>
  <c r="Z312" i="1"/>
  <c r="J312" i="1"/>
  <c r="AL312" i="1" s="1"/>
  <c r="BJ310" i="1"/>
  <c r="BF310" i="1"/>
  <c r="BD310" i="1"/>
  <c r="AP310" i="1"/>
  <c r="AX310" i="1" s="1"/>
  <c r="AO310" i="1"/>
  <c r="AW310" i="1" s="1"/>
  <c r="AL310" i="1"/>
  <c r="AK310" i="1"/>
  <c r="AJ310" i="1"/>
  <c r="AH310" i="1"/>
  <c r="AG310" i="1"/>
  <c r="AF310" i="1"/>
  <c r="AE310" i="1"/>
  <c r="AD310" i="1"/>
  <c r="Z310" i="1"/>
  <c r="J310" i="1"/>
  <c r="BJ305" i="1"/>
  <c r="BF305" i="1"/>
  <c r="BD305" i="1"/>
  <c r="AX305" i="1"/>
  <c r="AP305" i="1"/>
  <c r="I305" i="1" s="1"/>
  <c r="AO305" i="1"/>
  <c r="AW305" i="1" s="1"/>
  <c r="AK305" i="1"/>
  <c r="AJ305" i="1"/>
  <c r="AH305" i="1"/>
  <c r="AG305" i="1"/>
  <c r="AF305" i="1"/>
  <c r="AE305" i="1"/>
  <c r="AD305" i="1"/>
  <c r="Z305" i="1"/>
  <c r="J305" i="1"/>
  <c r="AL305" i="1" s="1"/>
  <c r="BJ301" i="1"/>
  <c r="BF301" i="1"/>
  <c r="BD301" i="1"/>
  <c r="AP301" i="1"/>
  <c r="AX301" i="1" s="1"/>
  <c r="AO301" i="1"/>
  <c r="AW301" i="1" s="1"/>
  <c r="AK301" i="1"/>
  <c r="AJ301" i="1"/>
  <c r="AH301" i="1"/>
  <c r="AG301" i="1"/>
  <c r="AF301" i="1"/>
  <c r="AE301" i="1"/>
  <c r="AD301" i="1"/>
  <c r="Z301" i="1"/>
  <c r="J301" i="1"/>
  <c r="AL301" i="1" s="1"/>
  <c r="BJ297" i="1"/>
  <c r="BF297" i="1"/>
  <c r="BD297" i="1"/>
  <c r="AP297" i="1"/>
  <c r="AX297" i="1" s="1"/>
  <c r="AO297" i="1"/>
  <c r="AW297" i="1" s="1"/>
  <c r="AK297" i="1"/>
  <c r="AJ297" i="1"/>
  <c r="AH297" i="1"/>
  <c r="AG297" i="1"/>
  <c r="AF297" i="1"/>
  <c r="AE297" i="1"/>
  <c r="AD297" i="1"/>
  <c r="Z297" i="1"/>
  <c r="J297" i="1"/>
  <c r="BJ294" i="1"/>
  <c r="BF294" i="1"/>
  <c r="BD294" i="1"/>
  <c r="AP294" i="1"/>
  <c r="AX294" i="1" s="1"/>
  <c r="AO294" i="1"/>
  <c r="AW294" i="1" s="1"/>
  <c r="AL294" i="1"/>
  <c r="AK294" i="1"/>
  <c r="AJ294" i="1"/>
  <c r="AH294" i="1"/>
  <c r="AG294" i="1"/>
  <c r="AF294" i="1"/>
  <c r="AE294" i="1"/>
  <c r="AD294" i="1"/>
  <c r="Z294" i="1"/>
  <c r="J294" i="1"/>
  <c r="BJ292" i="1"/>
  <c r="BF292" i="1"/>
  <c r="BD292" i="1"/>
  <c r="AP292" i="1"/>
  <c r="AX292" i="1" s="1"/>
  <c r="AO292" i="1"/>
  <c r="AW292" i="1" s="1"/>
  <c r="AK292" i="1"/>
  <c r="AJ292" i="1"/>
  <c r="AH292" i="1"/>
  <c r="AG292" i="1"/>
  <c r="AF292" i="1"/>
  <c r="AE292" i="1"/>
  <c r="AD292" i="1"/>
  <c r="Z292" i="1"/>
  <c r="J292" i="1"/>
  <c r="AL292" i="1" s="1"/>
  <c r="BJ288" i="1"/>
  <c r="BF288" i="1"/>
  <c r="BD288" i="1"/>
  <c r="AW288" i="1"/>
  <c r="AP288" i="1"/>
  <c r="AX288" i="1" s="1"/>
  <c r="AO288" i="1"/>
  <c r="BH288" i="1" s="1"/>
  <c r="AB288" i="1" s="1"/>
  <c r="AL288" i="1"/>
  <c r="AK288" i="1"/>
  <c r="AJ288" i="1"/>
  <c r="AH288" i="1"/>
  <c r="AG288" i="1"/>
  <c r="AF288" i="1"/>
  <c r="AE288" i="1"/>
  <c r="AD288" i="1"/>
  <c r="Z288" i="1"/>
  <c r="J288" i="1"/>
  <c r="I288" i="1"/>
  <c r="BJ284" i="1"/>
  <c r="BF284" i="1"/>
  <c r="BD284" i="1"/>
  <c r="AX284" i="1"/>
  <c r="AP284" i="1"/>
  <c r="BI284" i="1" s="1"/>
  <c r="AC284" i="1" s="1"/>
  <c r="AO284" i="1"/>
  <c r="BH284" i="1" s="1"/>
  <c r="AB284" i="1" s="1"/>
  <c r="AK284" i="1"/>
  <c r="AJ284" i="1"/>
  <c r="AH284" i="1"/>
  <c r="AG284" i="1"/>
  <c r="AF284" i="1"/>
  <c r="AE284" i="1"/>
  <c r="AD284" i="1"/>
  <c r="Z284" i="1"/>
  <c r="J284" i="1"/>
  <c r="AL284" i="1" s="1"/>
  <c r="BJ280" i="1"/>
  <c r="BF280" i="1"/>
  <c r="BD280" i="1"/>
  <c r="AW280" i="1"/>
  <c r="AP280" i="1"/>
  <c r="BI280" i="1" s="1"/>
  <c r="AC280" i="1" s="1"/>
  <c r="AO280" i="1"/>
  <c r="BH280" i="1" s="1"/>
  <c r="AB280" i="1" s="1"/>
  <c r="AK280" i="1"/>
  <c r="AJ280" i="1"/>
  <c r="AH280" i="1"/>
  <c r="AG280" i="1"/>
  <c r="AF280" i="1"/>
  <c r="AE280" i="1"/>
  <c r="AD280" i="1"/>
  <c r="Z280" i="1"/>
  <c r="J280" i="1"/>
  <c r="AL280" i="1" s="1"/>
  <c r="H280" i="1"/>
  <c r="BJ276" i="1"/>
  <c r="BF276" i="1"/>
  <c r="BD276" i="1"/>
  <c r="AW276" i="1"/>
  <c r="AP276" i="1"/>
  <c r="BI276" i="1" s="1"/>
  <c r="AC276" i="1" s="1"/>
  <c r="AO276" i="1"/>
  <c r="BH276" i="1" s="1"/>
  <c r="AB276" i="1" s="1"/>
  <c r="AK276" i="1"/>
  <c r="AJ276" i="1"/>
  <c r="AH276" i="1"/>
  <c r="AG276" i="1"/>
  <c r="AF276" i="1"/>
  <c r="AE276" i="1"/>
  <c r="AD276" i="1"/>
  <c r="Z276" i="1"/>
  <c r="J276" i="1"/>
  <c r="AL276" i="1" s="1"/>
  <c r="H276" i="1"/>
  <c r="BJ274" i="1"/>
  <c r="BF274" i="1"/>
  <c r="BD274" i="1"/>
  <c r="AP274" i="1"/>
  <c r="BI274" i="1" s="1"/>
  <c r="AC274" i="1" s="1"/>
  <c r="AO274" i="1"/>
  <c r="AK274" i="1"/>
  <c r="AJ274" i="1"/>
  <c r="AH274" i="1"/>
  <c r="AG274" i="1"/>
  <c r="AF274" i="1"/>
  <c r="AE274" i="1"/>
  <c r="AD274" i="1"/>
  <c r="Z274" i="1"/>
  <c r="J274" i="1"/>
  <c r="AL274" i="1" s="1"/>
  <c r="BJ269" i="1"/>
  <c r="BF269" i="1"/>
  <c r="BD269" i="1"/>
  <c r="AP269" i="1"/>
  <c r="AO269" i="1"/>
  <c r="AW269" i="1" s="1"/>
  <c r="AL269" i="1"/>
  <c r="AK269" i="1"/>
  <c r="AJ269" i="1"/>
  <c r="AH269" i="1"/>
  <c r="AG269" i="1"/>
  <c r="AF269" i="1"/>
  <c r="AE269" i="1"/>
  <c r="AD269" i="1"/>
  <c r="Z269" i="1"/>
  <c r="J269" i="1"/>
  <c r="BJ266" i="1"/>
  <c r="BF266" i="1"/>
  <c r="BD266" i="1"/>
  <c r="AP266" i="1"/>
  <c r="AX266" i="1" s="1"/>
  <c r="AO266" i="1"/>
  <c r="AW266" i="1" s="1"/>
  <c r="AK266" i="1"/>
  <c r="AJ266" i="1"/>
  <c r="AH266" i="1"/>
  <c r="AG266" i="1"/>
  <c r="AF266" i="1"/>
  <c r="AE266" i="1"/>
  <c r="AD266" i="1"/>
  <c r="Z266" i="1"/>
  <c r="J266" i="1"/>
  <c r="AL266" i="1" s="1"/>
  <c r="BJ262" i="1"/>
  <c r="BF262" i="1"/>
  <c r="BD262" i="1"/>
  <c r="AP262" i="1"/>
  <c r="AX262" i="1" s="1"/>
  <c r="AO262" i="1"/>
  <c r="AL262" i="1"/>
  <c r="AK262" i="1"/>
  <c r="AJ262" i="1"/>
  <c r="AH262" i="1"/>
  <c r="AG262" i="1"/>
  <c r="AF262" i="1"/>
  <c r="AE262" i="1"/>
  <c r="AD262" i="1"/>
  <c r="Z262" i="1"/>
  <c r="J262" i="1"/>
  <c r="BJ255" i="1"/>
  <c r="BF255" i="1"/>
  <c r="BD255" i="1"/>
  <c r="AP255" i="1"/>
  <c r="AO255" i="1"/>
  <c r="AL255" i="1"/>
  <c r="AK255" i="1"/>
  <c r="AJ255" i="1"/>
  <c r="AH255" i="1"/>
  <c r="AG255" i="1"/>
  <c r="AF255" i="1"/>
  <c r="AE255" i="1"/>
  <c r="AD255" i="1"/>
  <c r="Z255" i="1"/>
  <c r="J255" i="1"/>
  <c r="BJ252" i="1"/>
  <c r="BF252" i="1"/>
  <c r="BD252" i="1"/>
  <c r="AP252" i="1"/>
  <c r="AX252" i="1" s="1"/>
  <c r="AO252" i="1"/>
  <c r="AL252" i="1"/>
  <c r="AU251" i="1" s="1"/>
  <c r="AK252" i="1"/>
  <c r="AT251" i="1" s="1"/>
  <c r="AJ252" i="1"/>
  <c r="AS251" i="1" s="1"/>
  <c r="AH252" i="1"/>
  <c r="AG252" i="1"/>
  <c r="AF252" i="1"/>
  <c r="AE252" i="1"/>
  <c r="AD252" i="1"/>
  <c r="Z252" i="1"/>
  <c r="J252" i="1"/>
  <c r="J251" i="1"/>
  <c r="G33" i="2" s="1"/>
  <c r="I33" i="2" s="1"/>
  <c r="BJ248" i="1"/>
  <c r="BF248" i="1"/>
  <c r="BD248" i="1"/>
  <c r="AP248" i="1"/>
  <c r="AX248" i="1" s="1"/>
  <c r="AO248" i="1"/>
  <c r="AW248" i="1" s="1"/>
  <c r="AK248" i="1"/>
  <c r="AJ248" i="1"/>
  <c r="AH248" i="1"/>
  <c r="AG248" i="1"/>
  <c r="AF248" i="1"/>
  <c r="AE248" i="1"/>
  <c r="AD248" i="1"/>
  <c r="Z248" i="1"/>
  <c r="J248" i="1"/>
  <c r="AL248" i="1" s="1"/>
  <c r="BJ245" i="1"/>
  <c r="BF245" i="1"/>
  <c r="BD245" i="1"/>
  <c r="AP245" i="1"/>
  <c r="AX245" i="1" s="1"/>
  <c r="AO245" i="1"/>
  <c r="AL245" i="1"/>
  <c r="AU244" i="1" s="1"/>
  <c r="AK245" i="1"/>
  <c r="AJ245" i="1"/>
  <c r="AH245" i="1"/>
  <c r="AG245" i="1"/>
  <c r="AF245" i="1"/>
  <c r="AE245" i="1"/>
  <c r="AD245" i="1"/>
  <c r="Z245" i="1"/>
  <c r="J245" i="1"/>
  <c r="J244" i="1"/>
  <c r="G32" i="2" s="1"/>
  <c r="I32" i="2" s="1"/>
  <c r="BJ240" i="1"/>
  <c r="BF240" i="1"/>
  <c r="BD240" i="1"/>
  <c r="AP240" i="1"/>
  <c r="AX240" i="1" s="1"/>
  <c r="AO240" i="1"/>
  <c r="AW240" i="1" s="1"/>
  <c r="AK240" i="1"/>
  <c r="AT239" i="1" s="1"/>
  <c r="AJ240" i="1"/>
  <c r="AS239" i="1" s="1"/>
  <c r="AH240" i="1"/>
  <c r="AG240" i="1"/>
  <c r="AF240" i="1"/>
  <c r="AE240" i="1"/>
  <c r="AD240" i="1"/>
  <c r="Z240" i="1"/>
  <c r="J240" i="1"/>
  <c r="AL240" i="1" s="1"/>
  <c r="AU239" i="1" s="1"/>
  <c r="J239" i="1"/>
  <c r="G31" i="2" s="1"/>
  <c r="I31" i="2" s="1"/>
  <c r="BJ235" i="1"/>
  <c r="BF235" i="1"/>
  <c r="BD235" i="1"/>
  <c r="AP235" i="1"/>
  <c r="BI235" i="1" s="1"/>
  <c r="AC235" i="1" s="1"/>
  <c r="AO235" i="1"/>
  <c r="BH235" i="1" s="1"/>
  <c r="AB235" i="1" s="1"/>
  <c r="AK235" i="1"/>
  <c r="AJ235" i="1"/>
  <c r="AS234" i="1" s="1"/>
  <c r="AH235" i="1"/>
  <c r="AG235" i="1"/>
  <c r="AF235" i="1"/>
  <c r="AE235" i="1"/>
  <c r="AD235" i="1"/>
  <c r="Z235" i="1"/>
  <c r="J235" i="1"/>
  <c r="AL235" i="1" s="1"/>
  <c r="AU234" i="1" s="1"/>
  <c r="AT234" i="1"/>
  <c r="BJ222" i="1"/>
  <c r="BF222" i="1"/>
  <c r="BD222" i="1"/>
  <c r="AX222" i="1"/>
  <c r="AP222" i="1"/>
  <c r="BI222" i="1" s="1"/>
  <c r="AC222" i="1" s="1"/>
  <c r="AO222" i="1"/>
  <c r="BH222" i="1" s="1"/>
  <c r="AB222" i="1" s="1"/>
  <c r="AL222" i="1"/>
  <c r="AK222" i="1"/>
  <c r="AJ222" i="1"/>
  <c r="AH222" i="1"/>
  <c r="AG222" i="1"/>
  <c r="AF222" i="1"/>
  <c r="AE222" i="1"/>
  <c r="AD222" i="1"/>
  <c r="Z222" i="1"/>
  <c r="J222" i="1"/>
  <c r="I222" i="1"/>
  <c r="H222" i="1"/>
  <c r="BJ219" i="1"/>
  <c r="BF219" i="1"/>
  <c r="BD219" i="1"/>
  <c r="AX219" i="1"/>
  <c r="AP219" i="1"/>
  <c r="BI219" i="1" s="1"/>
  <c r="AC219" i="1" s="1"/>
  <c r="AO219" i="1"/>
  <c r="BH219" i="1" s="1"/>
  <c r="AB219" i="1" s="1"/>
  <c r="AK219" i="1"/>
  <c r="AJ219" i="1"/>
  <c r="AH219" i="1"/>
  <c r="AG219" i="1"/>
  <c r="AF219" i="1"/>
  <c r="AE219" i="1"/>
  <c r="AD219" i="1"/>
  <c r="Z219" i="1"/>
  <c r="J219" i="1"/>
  <c r="AL219" i="1" s="1"/>
  <c r="I219" i="1"/>
  <c r="BJ207" i="1"/>
  <c r="BF207" i="1"/>
  <c r="BD207" i="1"/>
  <c r="AP207" i="1"/>
  <c r="BI207" i="1" s="1"/>
  <c r="AC207" i="1" s="1"/>
  <c r="AO207" i="1"/>
  <c r="AW207" i="1" s="1"/>
  <c r="AK207" i="1"/>
  <c r="AJ207" i="1"/>
  <c r="AH207" i="1"/>
  <c r="AG207" i="1"/>
  <c r="AF207" i="1"/>
  <c r="AE207" i="1"/>
  <c r="AD207" i="1"/>
  <c r="Z207" i="1"/>
  <c r="J207" i="1"/>
  <c r="AL207" i="1" s="1"/>
  <c r="BJ204" i="1"/>
  <c r="BF204" i="1"/>
  <c r="BD204" i="1"/>
  <c r="AV204" i="1"/>
  <c r="AP204" i="1"/>
  <c r="AX204" i="1" s="1"/>
  <c r="AO204" i="1"/>
  <c r="AW204" i="1" s="1"/>
  <c r="AK204" i="1"/>
  <c r="AJ204" i="1"/>
  <c r="AH204" i="1"/>
  <c r="AG204" i="1"/>
  <c r="AF204" i="1"/>
  <c r="AE204" i="1"/>
  <c r="AD204" i="1"/>
  <c r="Z204" i="1"/>
  <c r="J204" i="1"/>
  <c r="AL204" i="1" s="1"/>
  <c r="BJ201" i="1"/>
  <c r="BF201" i="1"/>
  <c r="BD201" i="1"/>
  <c r="AP201" i="1"/>
  <c r="AX201" i="1" s="1"/>
  <c r="AO201" i="1"/>
  <c r="H201" i="1" s="1"/>
  <c r="AK201" i="1"/>
  <c r="AJ201" i="1"/>
  <c r="AH201" i="1"/>
  <c r="AG201" i="1"/>
  <c r="AF201" i="1"/>
  <c r="AE201" i="1"/>
  <c r="AD201" i="1"/>
  <c r="Z201" i="1"/>
  <c r="J201" i="1"/>
  <c r="AL201" i="1" s="1"/>
  <c r="BJ199" i="1"/>
  <c r="BI199" i="1"/>
  <c r="AC199" i="1" s="1"/>
  <c r="BF199" i="1"/>
  <c r="BD199" i="1"/>
  <c r="AP199" i="1"/>
  <c r="AX199" i="1" s="1"/>
  <c r="AO199" i="1"/>
  <c r="BH199" i="1" s="1"/>
  <c r="AB199" i="1" s="1"/>
  <c r="AK199" i="1"/>
  <c r="AJ199" i="1"/>
  <c r="AH199" i="1"/>
  <c r="AG199" i="1"/>
  <c r="AF199" i="1"/>
  <c r="AE199" i="1"/>
  <c r="AD199" i="1"/>
  <c r="Z199" i="1"/>
  <c r="J199" i="1"/>
  <c r="AL199" i="1" s="1"/>
  <c r="I199" i="1"/>
  <c r="BJ196" i="1"/>
  <c r="BF196" i="1"/>
  <c r="BD196" i="1"/>
  <c r="AP196" i="1"/>
  <c r="I196" i="1" s="1"/>
  <c r="AO196" i="1"/>
  <c r="BH196" i="1" s="1"/>
  <c r="AB196" i="1" s="1"/>
  <c r="AK196" i="1"/>
  <c r="AJ196" i="1"/>
  <c r="AH196" i="1"/>
  <c r="AG196" i="1"/>
  <c r="AF196" i="1"/>
  <c r="AE196" i="1"/>
  <c r="AD196" i="1"/>
  <c r="Z196" i="1"/>
  <c r="J196" i="1"/>
  <c r="H196" i="1"/>
  <c r="BJ192" i="1"/>
  <c r="BF192" i="1"/>
  <c r="BD192" i="1"/>
  <c r="AX192" i="1"/>
  <c r="AP192" i="1"/>
  <c r="BI192" i="1" s="1"/>
  <c r="AO192" i="1"/>
  <c r="BH192" i="1" s="1"/>
  <c r="AL192" i="1"/>
  <c r="AK192" i="1"/>
  <c r="AJ192" i="1"/>
  <c r="AH192" i="1"/>
  <c r="AG192" i="1"/>
  <c r="AF192" i="1"/>
  <c r="AE192" i="1"/>
  <c r="AD192" i="1"/>
  <c r="AC192" i="1"/>
  <c r="AB192" i="1"/>
  <c r="Z192" i="1"/>
  <c r="J192" i="1"/>
  <c r="I192" i="1"/>
  <c r="BJ190" i="1"/>
  <c r="BF190" i="1"/>
  <c r="BD190" i="1"/>
  <c r="AP190" i="1"/>
  <c r="AO190" i="1"/>
  <c r="BH190" i="1" s="1"/>
  <c r="AK190" i="1"/>
  <c r="AJ190" i="1"/>
  <c r="AH190" i="1"/>
  <c r="AG190" i="1"/>
  <c r="AF190" i="1"/>
  <c r="AE190" i="1"/>
  <c r="AD190" i="1"/>
  <c r="AC190" i="1"/>
  <c r="AB190" i="1"/>
  <c r="Z190" i="1"/>
  <c r="J190" i="1"/>
  <c r="AL190" i="1" s="1"/>
  <c r="BJ188" i="1"/>
  <c r="BF188" i="1"/>
  <c r="BD188" i="1"/>
  <c r="AW188" i="1"/>
  <c r="AP188" i="1"/>
  <c r="BI188" i="1" s="1"/>
  <c r="AO188" i="1"/>
  <c r="H188" i="1" s="1"/>
  <c r="AK188" i="1"/>
  <c r="AJ188" i="1"/>
  <c r="AH188" i="1"/>
  <c r="AG188" i="1"/>
  <c r="AF188" i="1"/>
  <c r="AE188" i="1"/>
  <c r="AD188" i="1"/>
  <c r="AC188" i="1"/>
  <c r="AB188" i="1"/>
  <c r="Z188" i="1"/>
  <c r="J188" i="1"/>
  <c r="AL188" i="1" s="1"/>
  <c r="BJ183" i="1"/>
  <c r="Z183" i="1" s="1"/>
  <c r="BF183" i="1"/>
  <c r="BD183" i="1"/>
  <c r="AP183" i="1"/>
  <c r="I183" i="1" s="1"/>
  <c r="AO183" i="1"/>
  <c r="AW183" i="1" s="1"/>
  <c r="AK183" i="1"/>
  <c r="AJ183" i="1"/>
  <c r="AH183" i="1"/>
  <c r="AG183" i="1"/>
  <c r="AF183" i="1"/>
  <c r="AE183" i="1"/>
  <c r="AD183" i="1"/>
  <c r="AC183" i="1"/>
  <c r="AB183" i="1"/>
  <c r="J183" i="1"/>
  <c r="H183" i="1"/>
  <c r="BJ179" i="1"/>
  <c r="BF179" i="1"/>
  <c r="BD179" i="1"/>
  <c r="AW179" i="1"/>
  <c r="AP179" i="1"/>
  <c r="AO179" i="1"/>
  <c r="BH179" i="1" s="1"/>
  <c r="AL179" i="1"/>
  <c r="AK179" i="1"/>
  <c r="AJ179" i="1"/>
  <c r="AH179" i="1"/>
  <c r="AG179" i="1"/>
  <c r="AF179" i="1"/>
  <c r="AE179" i="1"/>
  <c r="AD179" i="1"/>
  <c r="AC179" i="1"/>
  <c r="AB179" i="1"/>
  <c r="Z179" i="1"/>
  <c r="J179" i="1"/>
  <c r="H179" i="1"/>
  <c r="BJ177" i="1"/>
  <c r="Z177" i="1" s="1"/>
  <c r="BF177" i="1"/>
  <c r="BD177" i="1"/>
  <c r="AX177" i="1"/>
  <c r="AP177" i="1"/>
  <c r="BI177" i="1" s="1"/>
  <c r="AO177" i="1"/>
  <c r="AW177" i="1" s="1"/>
  <c r="AK177" i="1"/>
  <c r="AJ177" i="1"/>
  <c r="AH177" i="1"/>
  <c r="AG177" i="1"/>
  <c r="AF177" i="1"/>
  <c r="AE177" i="1"/>
  <c r="AD177" i="1"/>
  <c r="AC177" i="1"/>
  <c r="AB177" i="1"/>
  <c r="J177" i="1"/>
  <c r="AL177" i="1" s="1"/>
  <c r="I177" i="1"/>
  <c r="BJ176" i="1"/>
  <c r="Z176" i="1" s="1"/>
  <c r="BF176" i="1"/>
  <c r="BD176" i="1"/>
  <c r="AP176" i="1"/>
  <c r="AX176" i="1" s="1"/>
  <c r="AO176" i="1"/>
  <c r="BH176" i="1" s="1"/>
  <c r="AL176" i="1"/>
  <c r="AK176" i="1"/>
  <c r="AJ176" i="1"/>
  <c r="AH176" i="1"/>
  <c r="AG176" i="1"/>
  <c r="AF176" i="1"/>
  <c r="AE176" i="1"/>
  <c r="AD176" i="1"/>
  <c r="AC176" i="1"/>
  <c r="AB176" i="1"/>
  <c r="J176" i="1"/>
  <c r="BJ175" i="1"/>
  <c r="Z175" i="1" s="1"/>
  <c r="BF175" i="1"/>
  <c r="BD175" i="1"/>
  <c r="AP175" i="1"/>
  <c r="BI175" i="1" s="1"/>
  <c r="AO175" i="1"/>
  <c r="AK175" i="1"/>
  <c r="AJ175" i="1"/>
  <c r="AH175" i="1"/>
  <c r="AG175" i="1"/>
  <c r="AF175" i="1"/>
  <c r="AE175" i="1"/>
  <c r="AD175" i="1"/>
  <c r="AC175" i="1"/>
  <c r="AB175" i="1"/>
  <c r="J175" i="1"/>
  <c r="AL175" i="1" s="1"/>
  <c r="BJ167" i="1"/>
  <c r="Z167" i="1" s="1"/>
  <c r="BF167" i="1"/>
  <c r="BD167" i="1"/>
  <c r="AP167" i="1"/>
  <c r="AO167" i="1"/>
  <c r="AW167" i="1" s="1"/>
  <c r="AL167" i="1"/>
  <c r="AK167" i="1"/>
  <c r="AJ167" i="1"/>
  <c r="AH167" i="1"/>
  <c r="AG167" i="1"/>
  <c r="AF167" i="1"/>
  <c r="AE167" i="1"/>
  <c r="AD167" i="1"/>
  <c r="AC167" i="1"/>
  <c r="AB167" i="1"/>
  <c r="J167" i="1"/>
  <c r="BJ165" i="1"/>
  <c r="BF165" i="1"/>
  <c r="BD165" i="1"/>
  <c r="AP165" i="1"/>
  <c r="BI165" i="1" s="1"/>
  <c r="AG165" i="1" s="1"/>
  <c r="AO165" i="1"/>
  <c r="AK165" i="1"/>
  <c r="AJ165" i="1"/>
  <c r="AH165" i="1"/>
  <c r="AE165" i="1"/>
  <c r="AD165" i="1"/>
  <c r="AC165" i="1"/>
  <c r="AB165" i="1"/>
  <c r="Z165" i="1"/>
  <c r="J165" i="1"/>
  <c r="AL165" i="1" s="1"/>
  <c r="BJ164" i="1"/>
  <c r="BF164" i="1"/>
  <c r="BD164" i="1"/>
  <c r="AP164" i="1"/>
  <c r="AO164" i="1"/>
  <c r="BH164" i="1" s="1"/>
  <c r="AF164" i="1" s="1"/>
  <c r="AL164" i="1"/>
  <c r="AK164" i="1"/>
  <c r="AJ164" i="1"/>
  <c r="AH164" i="1"/>
  <c r="AE164" i="1"/>
  <c r="AD164" i="1"/>
  <c r="AC164" i="1"/>
  <c r="AB164" i="1"/>
  <c r="Z164" i="1"/>
  <c r="J164" i="1"/>
  <c r="H164" i="1"/>
  <c r="BJ162" i="1"/>
  <c r="BF162" i="1"/>
  <c r="BD162" i="1"/>
  <c r="AW162" i="1"/>
  <c r="AP162" i="1"/>
  <c r="BI162" i="1" s="1"/>
  <c r="AG162" i="1" s="1"/>
  <c r="AO162" i="1"/>
  <c r="BH162" i="1" s="1"/>
  <c r="AF162" i="1" s="1"/>
  <c r="AK162" i="1"/>
  <c r="AJ162" i="1"/>
  <c r="AH162" i="1"/>
  <c r="AE162" i="1"/>
  <c r="AD162" i="1"/>
  <c r="AC162" i="1"/>
  <c r="AB162" i="1"/>
  <c r="Z162" i="1"/>
  <c r="J162" i="1"/>
  <c r="AL162" i="1" s="1"/>
  <c r="H162" i="1"/>
  <c r="BJ159" i="1"/>
  <c r="BF159" i="1"/>
  <c r="BD159" i="1"/>
  <c r="AP159" i="1"/>
  <c r="BI159" i="1" s="1"/>
  <c r="AG159" i="1" s="1"/>
  <c r="AO159" i="1"/>
  <c r="AK159" i="1"/>
  <c r="AJ159" i="1"/>
  <c r="AH159" i="1"/>
  <c r="AE159" i="1"/>
  <c r="AD159" i="1"/>
  <c r="AC159" i="1"/>
  <c r="AB159" i="1"/>
  <c r="Z159" i="1"/>
  <c r="J159" i="1"/>
  <c r="AL159" i="1" s="1"/>
  <c r="I159" i="1"/>
  <c r="AT158" i="1"/>
  <c r="BJ157" i="1"/>
  <c r="BF157" i="1"/>
  <c r="BD157" i="1"/>
  <c r="AX157" i="1"/>
  <c r="AW157" i="1"/>
  <c r="AV157" i="1" s="1"/>
  <c r="AP157" i="1"/>
  <c r="BI157" i="1" s="1"/>
  <c r="AG157" i="1" s="1"/>
  <c r="AO157" i="1"/>
  <c r="BH157" i="1" s="1"/>
  <c r="AF157" i="1" s="1"/>
  <c r="AK157" i="1"/>
  <c r="AJ157" i="1"/>
  <c r="AH157" i="1"/>
  <c r="AE157" i="1"/>
  <c r="AD157" i="1"/>
  <c r="AC157" i="1"/>
  <c r="AB157" i="1"/>
  <c r="Z157" i="1"/>
  <c r="J157" i="1"/>
  <c r="AL157" i="1" s="1"/>
  <c r="I157" i="1"/>
  <c r="BJ156" i="1"/>
  <c r="BF156" i="1"/>
  <c r="BD156" i="1"/>
  <c r="AX156" i="1"/>
  <c r="AP156" i="1"/>
  <c r="BI156" i="1" s="1"/>
  <c r="AG156" i="1" s="1"/>
  <c r="AO156" i="1"/>
  <c r="AK156" i="1"/>
  <c r="AJ156" i="1"/>
  <c r="AS149" i="1" s="1"/>
  <c r="AH156" i="1"/>
  <c r="AE156" i="1"/>
  <c r="AD156" i="1"/>
  <c r="AC156" i="1"/>
  <c r="AB156" i="1"/>
  <c r="Z156" i="1"/>
  <c r="J156" i="1"/>
  <c r="AL156" i="1" s="1"/>
  <c r="I156" i="1"/>
  <c r="BJ155" i="1"/>
  <c r="BF155" i="1"/>
  <c r="BD155" i="1"/>
  <c r="AX155" i="1"/>
  <c r="AP155" i="1"/>
  <c r="I155" i="1" s="1"/>
  <c r="AO155" i="1"/>
  <c r="AW155" i="1" s="1"/>
  <c r="AK155" i="1"/>
  <c r="AT149" i="1" s="1"/>
  <c r="AJ155" i="1"/>
  <c r="AH155" i="1"/>
  <c r="AE155" i="1"/>
  <c r="AD155" i="1"/>
  <c r="AC155" i="1"/>
  <c r="AB155" i="1"/>
  <c r="Z155" i="1"/>
  <c r="J155" i="1"/>
  <c r="AL155" i="1" s="1"/>
  <c r="BJ154" i="1"/>
  <c r="BF154" i="1"/>
  <c r="BD154" i="1"/>
  <c r="AP154" i="1"/>
  <c r="AX154" i="1" s="1"/>
  <c r="AO154" i="1"/>
  <c r="BH154" i="1" s="1"/>
  <c r="AF154" i="1" s="1"/>
  <c r="AL154" i="1"/>
  <c r="AK154" i="1"/>
  <c r="AJ154" i="1"/>
  <c r="AH154" i="1"/>
  <c r="AE154" i="1"/>
  <c r="AD154" i="1"/>
  <c r="AC154" i="1"/>
  <c r="AB154" i="1"/>
  <c r="Z154" i="1"/>
  <c r="J154" i="1"/>
  <c r="I154" i="1"/>
  <c r="BJ151" i="1"/>
  <c r="BF151" i="1"/>
  <c r="BD151" i="1"/>
  <c r="AP151" i="1"/>
  <c r="AX151" i="1" s="1"/>
  <c r="AO151" i="1"/>
  <c r="AW151" i="1" s="1"/>
  <c r="AL151" i="1"/>
  <c r="AK151" i="1"/>
  <c r="AJ151" i="1"/>
  <c r="AH151" i="1"/>
  <c r="AE151" i="1"/>
  <c r="AD151" i="1"/>
  <c r="AC151" i="1"/>
  <c r="AB151" i="1"/>
  <c r="Z151" i="1"/>
  <c r="J151" i="1"/>
  <c r="BJ150" i="1"/>
  <c r="BF150" i="1"/>
  <c r="BD150" i="1"/>
  <c r="AP150" i="1"/>
  <c r="AX150" i="1" s="1"/>
  <c r="AO150" i="1"/>
  <c r="BH150" i="1" s="1"/>
  <c r="AF150" i="1" s="1"/>
  <c r="AL150" i="1"/>
  <c r="AK150" i="1"/>
  <c r="AJ150" i="1"/>
  <c r="AH150" i="1"/>
  <c r="AE150" i="1"/>
  <c r="AD150" i="1"/>
  <c r="AC150" i="1"/>
  <c r="AB150" i="1"/>
  <c r="Z150" i="1"/>
  <c r="J150" i="1"/>
  <c r="BJ146" i="1"/>
  <c r="BF146" i="1"/>
  <c r="BD146" i="1"/>
  <c r="AP146" i="1"/>
  <c r="AO146" i="1"/>
  <c r="AW146" i="1" s="1"/>
  <c r="AL146" i="1"/>
  <c r="AK146" i="1"/>
  <c r="AJ146" i="1"/>
  <c r="AH146" i="1"/>
  <c r="AG146" i="1"/>
  <c r="AF146" i="1"/>
  <c r="AC146" i="1"/>
  <c r="AB146" i="1"/>
  <c r="Z146" i="1"/>
  <c r="J146" i="1"/>
  <c r="BJ144" i="1"/>
  <c r="BF144" i="1"/>
  <c r="BD144" i="1"/>
  <c r="AP144" i="1"/>
  <c r="AX144" i="1" s="1"/>
  <c r="AO144" i="1"/>
  <c r="BH144" i="1" s="1"/>
  <c r="AD144" i="1" s="1"/>
  <c r="AL144" i="1"/>
  <c r="AK144" i="1"/>
  <c r="AJ144" i="1"/>
  <c r="AH144" i="1"/>
  <c r="AG144" i="1"/>
  <c r="AF144" i="1"/>
  <c r="AC144" i="1"/>
  <c r="AB144" i="1"/>
  <c r="Z144" i="1"/>
  <c r="J144" i="1"/>
  <c r="J143" i="1" s="1"/>
  <c r="G24" i="2" s="1"/>
  <c r="I24" i="2" s="1"/>
  <c r="BJ142" i="1"/>
  <c r="BF142" i="1"/>
  <c r="BD142" i="1"/>
  <c r="AP142" i="1"/>
  <c r="BI142" i="1" s="1"/>
  <c r="AO142" i="1"/>
  <c r="AW142" i="1" s="1"/>
  <c r="AL142" i="1"/>
  <c r="AK142" i="1"/>
  <c r="AJ142" i="1"/>
  <c r="AH142" i="1"/>
  <c r="AG142" i="1"/>
  <c r="AF142" i="1"/>
  <c r="AE142" i="1"/>
  <c r="AD142" i="1"/>
  <c r="AC142" i="1"/>
  <c r="AB142" i="1"/>
  <c r="Z142" i="1"/>
  <c r="J142" i="1"/>
  <c r="BJ139" i="1"/>
  <c r="BF139" i="1"/>
  <c r="BD139" i="1"/>
  <c r="AP139" i="1"/>
  <c r="AX139" i="1" s="1"/>
  <c r="AO139" i="1"/>
  <c r="BH139" i="1" s="1"/>
  <c r="AD139" i="1" s="1"/>
  <c r="AK139" i="1"/>
  <c r="AJ139" i="1"/>
  <c r="AH139" i="1"/>
  <c r="AG139" i="1"/>
  <c r="AF139" i="1"/>
  <c r="AC139" i="1"/>
  <c r="AB139" i="1"/>
  <c r="Z139" i="1"/>
  <c r="J139" i="1"/>
  <c r="AL139" i="1" s="1"/>
  <c r="BJ136" i="1"/>
  <c r="BF136" i="1"/>
  <c r="BD136" i="1"/>
  <c r="AP136" i="1"/>
  <c r="BI136" i="1" s="1"/>
  <c r="AE136" i="1" s="1"/>
  <c r="AO136" i="1"/>
  <c r="BH136" i="1" s="1"/>
  <c r="AD136" i="1" s="1"/>
  <c r="AL136" i="1"/>
  <c r="AK136" i="1"/>
  <c r="AJ136" i="1"/>
  <c r="AH136" i="1"/>
  <c r="AG136" i="1"/>
  <c r="AF136" i="1"/>
  <c r="AC136" i="1"/>
  <c r="AB136" i="1"/>
  <c r="Z136" i="1"/>
  <c r="J136" i="1"/>
  <c r="BJ133" i="1"/>
  <c r="BF133" i="1"/>
  <c r="BD133" i="1"/>
  <c r="AW133" i="1"/>
  <c r="AP133" i="1"/>
  <c r="BI133" i="1" s="1"/>
  <c r="AE133" i="1" s="1"/>
  <c r="AO133" i="1"/>
  <c r="BH133" i="1" s="1"/>
  <c r="AD133" i="1" s="1"/>
  <c r="AK133" i="1"/>
  <c r="AJ133" i="1"/>
  <c r="AH133" i="1"/>
  <c r="AG133" i="1"/>
  <c r="AF133" i="1"/>
  <c r="AC133" i="1"/>
  <c r="AB133" i="1"/>
  <c r="Z133" i="1"/>
  <c r="J133" i="1"/>
  <c r="AL133" i="1" s="1"/>
  <c r="BJ131" i="1"/>
  <c r="BF131" i="1"/>
  <c r="BD131" i="1"/>
  <c r="AX131" i="1"/>
  <c r="AP131" i="1"/>
  <c r="BI131" i="1" s="1"/>
  <c r="AE131" i="1" s="1"/>
  <c r="AO131" i="1"/>
  <c r="BH131" i="1" s="1"/>
  <c r="AD131" i="1" s="1"/>
  <c r="AK131" i="1"/>
  <c r="AJ131" i="1"/>
  <c r="AH131" i="1"/>
  <c r="AG131" i="1"/>
  <c r="AF131" i="1"/>
  <c r="AC131" i="1"/>
  <c r="AB131" i="1"/>
  <c r="Z131" i="1"/>
  <c r="J131" i="1"/>
  <c r="AL131" i="1" s="1"/>
  <c r="I131" i="1"/>
  <c r="H131" i="1"/>
  <c r="BJ129" i="1"/>
  <c r="BF129" i="1"/>
  <c r="BD129" i="1"/>
  <c r="AX129" i="1"/>
  <c r="AW129" i="1"/>
  <c r="AP129" i="1"/>
  <c r="BI129" i="1" s="1"/>
  <c r="AE129" i="1" s="1"/>
  <c r="AO129" i="1"/>
  <c r="H129" i="1" s="1"/>
  <c r="AK129" i="1"/>
  <c r="AJ129" i="1"/>
  <c r="AH129" i="1"/>
  <c r="AG129" i="1"/>
  <c r="AF129" i="1"/>
  <c r="AC129" i="1"/>
  <c r="AB129" i="1"/>
  <c r="Z129" i="1"/>
  <c r="J129" i="1"/>
  <c r="AL129" i="1" s="1"/>
  <c r="I129" i="1"/>
  <c r="BJ127" i="1"/>
  <c r="Z127" i="1" s="1"/>
  <c r="BF127" i="1"/>
  <c r="BD127" i="1"/>
  <c r="AX127" i="1"/>
  <c r="AP127" i="1"/>
  <c r="BI127" i="1" s="1"/>
  <c r="AO127" i="1"/>
  <c r="BH127" i="1" s="1"/>
  <c r="AK127" i="1"/>
  <c r="AJ127" i="1"/>
  <c r="AH127" i="1"/>
  <c r="AG127" i="1"/>
  <c r="AF127" i="1"/>
  <c r="AE127" i="1"/>
  <c r="AD127" i="1"/>
  <c r="AC127" i="1"/>
  <c r="AB127" i="1"/>
  <c r="J127" i="1"/>
  <c r="AL127" i="1" s="1"/>
  <c r="H127" i="1"/>
  <c r="BJ123" i="1"/>
  <c r="BF123" i="1"/>
  <c r="BD123" i="1"/>
  <c r="AP123" i="1"/>
  <c r="AO123" i="1"/>
  <c r="AK123" i="1"/>
  <c r="AT122" i="1" s="1"/>
  <c r="AJ123" i="1"/>
  <c r="AS122" i="1" s="1"/>
  <c r="AH123" i="1"/>
  <c r="AG123" i="1"/>
  <c r="AF123" i="1"/>
  <c r="AC123" i="1"/>
  <c r="AB123" i="1"/>
  <c r="Z123" i="1"/>
  <c r="J123" i="1"/>
  <c r="AL123" i="1" s="1"/>
  <c r="BJ120" i="1"/>
  <c r="BF120" i="1"/>
  <c r="BD120" i="1"/>
  <c r="AP120" i="1"/>
  <c r="AO120" i="1"/>
  <c r="BH120" i="1" s="1"/>
  <c r="AD120" i="1" s="1"/>
  <c r="AK120" i="1"/>
  <c r="AT119" i="1" s="1"/>
  <c r="AJ120" i="1"/>
  <c r="AS119" i="1" s="1"/>
  <c r="AH120" i="1"/>
  <c r="AG120" i="1"/>
  <c r="AF120" i="1"/>
  <c r="AC120" i="1"/>
  <c r="AB120" i="1"/>
  <c r="Z120" i="1"/>
  <c r="J120" i="1"/>
  <c r="AL120" i="1" s="1"/>
  <c r="AU119" i="1" s="1"/>
  <c r="BJ118" i="1"/>
  <c r="Z118" i="1" s="1"/>
  <c r="BF118" i="1"/>
  <c r="BD118" i="1"/>
  <c r="AW118" i="1"/>
  <c r="AP118" i="1"/>
  <c r="BI118" i="1" s="1"/>
  <c r="AO118" i="1"/>
  <c r="BH118" i="1" s="1"/>
  <c r="AK118" i="1"/>
  <c r="AT117" i="1" s="1"/>
  <c r="AJ118" i="1"/>
  <c r="AS117" i="1" s="1"/>
  <c r="AH118" i="1"/>
  <c r="AG118" i="1"/>
  <c r="AF118" i="1"/>
  <c r="AE118" i="1"/>
  <c r="AD118" i="1"/>
  <c r="AC118" i="1"/>
  <c r="AB118" i="1"/>
  <c r="J118" i="1"/>
  <c r="I118" i="1"/>
  <c r="I117" i="1" s="1"/>
  <c r="F20" i="2" s="1"/>
  <c r="H118" i="1"/>
  <c r="H117" i="1" s="1"/>
  <c r="E20" i="2" s="1"/>
  <c r="BJ115" i="1"/>
  <c r="BF115" i="1"/>
  <c r="BD115" i="1"/>
  <c r="AP115" i="1"/>
  <c r="BI115" i="1" s="1"/>
  <c r="AC115" i="1" s="1"/>
  <c r="AO115" i="1"/>
  <c r="BH115" i="1" s="1"/>
  <c r="AB115" i="1" s="1"/>
  <c r="AK115" i="1"/>
  <c r="AJ115" i="1"/>
  <c r="AH115" i="1"/>
  <c r="AG115" i="1"/>
  <c r="AF115" i="1"/>
  <c r="AE115" i="1"/>
  <c r="AD115" i="1"/>
  <c r="Z115" i="1"/>
  <c r="J115" i="1"/>
  <c r="AL115" i="1" s="1"/>
  <c r="BJ113" i="1"/>
  <c r="BF113" i="1"/>
  <c r="BD113" i="1"/>
  <c r="AP113" i="1"/>
  <c r="BI113" i="1" s="1"/>
  <c r="AC113" i="1" s="1"/>
  <c r="AO113" i="1"/>
  <c r="BH113" i="1" s="1"/>
  <c r="AB113" i="1" s="1"/>
  <c r="AK113" i="1"/>
  <c r="AJ113" i="1"/>
  <c r="AH113" i="1"/>
  <c r="AG113" i="1"/>
  <c r="AF113" i="1"/>
  <c r="AE113" i="1"/>
  <c r="AD113" i="1"/>
  <c r="Z113" i="1"/>
  <c r="J113" i="1"/>
  <c r="AL113" i="1" s="1"/>
  <c r="H113" i="1"/>
  <c r="BJ110" i="1"/>
  <c r="BF110" i="1"/>
  <c r="BD110" i="1"/>
  <c r="AP110" i="1"/>
  <c r="AO110" i="1"/>
  <c r="AK110" i="1"/>
  <c r="AJ110" i="1"/>
  <c r="AH110" i="1"/>
  <c r="AG110" i="1"/>
  <c r="AF110" i="1"/>
  <c r="AE110" i="1"/>
  <c r="AD110" i="1"/>
  <c r="Z110" i="1"/>
  <c r="J110" i="1"/>
  <c r="BJ109" i="1"/>
  <c r="BF109" i="1"/>
  <c r="BD109" i="1"/>
  <c r="AP109" i="1"/>
  <c r="AO109" i="1"/>
  <c r="H109" i="1" s="1"/>
  <c r="AK109" i="1"/>
  <c r="AJ109" i="1"/>
  <c r="AS99" i="1" s="1"/>
  <c r="AH109" i="1"/>
  <c r="AG109" i="1"/>
  <c r="AF109" i="1"/>
  <c r="AE109" i="1"/>
  <c r="AD109" i="1"/>
  <c r="Z109" i="1"/>
  <c r="J109" i="1"/>
  <c r="AL109" i="1" s="1"/>
  <c r="BJ107" i="1"/>
  <c r="BF107" i="1"/>
  <c r="BD107" i="1"/>
  <c r="AP107" i="1"/>
  <c r="I107" i="1" s="1"/>
  <c r="AO107" i="1"/>
  <c r="BH107" i="1" s="1"/>
  <c r="AB107" i="1" s="1"/>
  <c r="AK107" i="1"/>
  <c r="AT99" i="1" s="1"/>
  <c r="AJ107" i="1"/>
  <c r="AH107" i="1"/>
  <c r="AG107" i="1"/>
  <c r="AF107" i="1"/>
  <c r="AE107" i="1"/>
  <c r="AD107" i="1"/>
  <c r="Z107" i="1"/>
  <c r="J107" i="1"/>
  <c r="AL107" i="1" s="1"/>
  <c r="BJ102" i="1"/>
  <c r="BF102" i="1"/>
  <c r="BD102" i="1"/>
  <c r="AW102" i="1"/>
  <c r="AP102" i="1"/>
  <c r="BI102" i="1" s="1"/>
  <c r="AC102" i="1" s="1"/>
  <c r="AO102" i="1"/>
  <c r="BH102" i="1" s="1"/>
  <c r="AB102" i="1" s="1"/>
  <c r="AK102" i="1"/>
  <c r="AJ102" i="1"/>
  <c r="AH102" i="1"/>
  <c r="AG102" i="1"/>
  <c r="AF102" i="1"/>
  <c r="AE102" i="1"/>
  <c r="AD102" i="1"/>
  <c r="Z102" i="1"/>
  <c r="J102" i="1"/>
  <c r="AL102" i="1" s="1"/>
  <c r="H102" i="1"/>
  <c r="BJ100" i="1"/>
  <c r="BF100" i="1"/>
  <c r="BD100" i="1"/>
  <c r="AX100" i="1"/>
  <c r="AP100" i="1"/>
  <c r="BI100" i="1" s="1"/>
  <c r="AC100" i="1" s="1"/>
  <c r="AO100" i="1"/>
  <c r="AK100" i="1"/>
  <c r="AJ100" i="1"/>
  <c r="AH100" i="1"/>
  <c r="AG100" i="1"/>
  <c r="AF100" i="1"/>
  <c r="AE100" i="1"/>
  <c r="AD100" i="1"/>
  <c r="Z100" i="1"/>
  <c r="J100" i="1"/>
  <c r="AL100" i="1" s="1"/>
  <c r="I100" i="1"/>
  <c r="BJ98" i="1"/>
  <c r="BF98" i="1"/>
  <c r="BD98" i="1"/>
  <c r="AX98" i="1"/>
  <c r="AP98" i="1"/>
  <c r="BI98" i="1" s="1"/>
  <c r="AO98" i="1"/>
  <c r="BH98" i="1" s="1"/>
  <c r="AB98" i="1" s="1"/>
  <c r="AK98" i="1"/>
  <c r="AJ98" i="1"/>
  <c r="AH98" i="1"/>
  <c r="AG98" i="1"/>
  <c r="AF98" i="1"/>
  <c r="AE98" i="1"/>
  <c r="AD98" i="1"/>
  <c r="AC98" i="1"/>
  <c r="Z98" i="1"/>
  <c r="J98" i="1"/>
  <c r="AL98" i="1" s="1"/>
  <c r="I98" i="1"/>
  <c r="H98" i="1"/>
  <c r="BJ97" i="1"/>
  <c r="BF97" i="1"/>
  <c r="BD97" i="1"/>
  <c r="AP97" i="1"/>
  <c r="AO97" i="1"/>
  <c r="AK97" i="1"/>
  <c r="AJ97" i="1"/>
  <c r="AH97" i="1"/>
  <c r="AG97" i="1"/>
  <c r="AF97" i="1"/>
  <c r="AE97" i="1"/>
  <c r="AD97" i="1"/>
  <c r="Z97" i="1"/>
  <c r="J97" i="1"/>
  <c r="AL97" i="1" s="1"/>
  <c r="BJ96" i="1"/>
  <c r="BF96" i="1"/>
  <c r="BD96" i="1"/>
  <c r="AP96" i="1"/>
  <c r="AO96" i="1"/>
  <c r="BH96" i="1" s="1"/>
  <c r="AB96" i="1" s="1"/>
  <c r="AK96" i="1"/>
  <c r="AJ96" i="1"/>
  <c r="AH96" i="1"/>
  <c r="AG96" i="1"/>
  <c r="AF96" i="1"/>
  <c r="AE96" i="1"/>
  <c r="AD96" i="1"/>
  <c r="Z96" i="1"/>
  <c r="J96" i="1"/>
  <c r="AL96" i="1" s="1"/>
  <c r="BJ92" i="1"/>
  <c r="BF92" i="1"/>
  <c r="BD92" i="1"/>
  <c r="AP92" i="1"/>
  <c r="BI92" i="1" s="1"/>
  <c r="AC92" i="1" s="1"/>
  <c r="AO92" i="1"/>
  <c r="BH92" i="1" s="1"/>
  <c r="AB92" i="1" s="1"/>
  <c r="AL92" i="1"/>
  <c r="AK92" i="1"/>
  <c r="AJ92" i="1"/>
  <c r="AH92" i="1"/>
  <c r="AG92" i="1"/>
  <c r="AF92" i="1"/>
  <c r="AE92" i="1"/>
  <c r="AD92" i="1"/>
  <c r="Z92" i="1"/>
  <c r="J92" i="1"/>
  <c r="H92" i="1"/>
  <c r="BJ91" i="1"/>
  <c r="BF91" i="1"/>
  <c r="BD91" i="1"/>
  <c r="AP91" i="1"/>
  <c r="AO91" i="1"/>
  <c r="AK91" i="1"/>
  <c r="AJ91" i="1"/>
  <c r="AH91" i="1"/>
  <c r="AG91" i="1"/>
  <c r="AF91" i="1"/>
  <c r="AE91" i="1"/>
  <c r="AD91" i="1"/>
  <c r="Z91" i="1"/>
  <c r="J91" i="1"/>
  <c r="AL91" i="1" s="1"/>
  <c r="BJ90" i="1"/>
  <c r="BF90" i="1"/>
  <c r="BD90" i="1"/>
  <c r="AW90" i="1"/>
  <c r="AP90" i="1"/>
  <c r="AO90" i="1"/>
  <c r="AK90" i="1"/>
  <c r="AJ90" i="1"/>
  <c r="AH90" i="1"/>
  <c r="AG90" i="1"/>
  <c r="AF90" i="1"/>
  <c r="AE90" i="1"/>
  <c r="AD90" i="1"/>
  <c r="Z90" i="1"/>
  <c r="J90" i="1"/>
  <c r="BJ88" i="1"/>
  <c r="BF88" i="1"/>
  <c r="BD88" i="1"/>
  <c r="AX88" i="1"/>
  <c r="AP88" i="1"/>
  <c r="BI88" i="1" s="1"/>
  <c r="AC88" i="1" s="1"/>
  <c r="AO88" i="1"/>
  <c r="H88" i="1" s="1"/>
  <c r="AK88" i="1"/>
  <c r="AJ88" i="1"/>
  <c r="AH88" i="1"/>
  <c r="AG88" i="1"/>
  <c r="AF88" i="1"/>
  <c r="AE88" i="1"/>
  <c r="AD88" i="1"/>
  <c r="Z88" i="1"/>
  <c r="J88" i="1"/>
  <c r="AL88" i="1" s="1"/>
  <c r="I88" i="1"/>
  <c r="BJ86" i="1"/>
  <c r="BF86" i="1"/>
  <c r="BD86" i="1"/>
  <c r="AX86" i="1"/>
  <c r="AW86" i="1"/>
  <c r="BC86" i="1" s="1"/>
  <c r="AP86" i="1"/>
  <c r="I86" i="1" s="1"/>
  <c r="AO86" i="1"/>
  <c r="BH86" i="1" s="1"/>
  <c r="AK86" i="1"/>
  <c r="AJ86" i="1"/>
  <c r="AH86" i="1"/>
  <c r="AG86" i="1"/>
  <c r="AF86" i="1"/>
  <c r="AE86" i="1"/>
  <c r="AD86" i="1"/>
  <c r="AB86" i="1"/>
  <c r="Z86" i="1"/>
  <c r="J86" i="1"/>
  <c r="AL86" i="1" s="1"/>
  <c r="H86" i="1"/>
  <c r="BJ85" i="1"/>
  <c r="BF85" i="1"/>
  <c r="BD85" i="1"/>
  <c r="AW85" i="1"/>
  <c r="AP85" i="1"/>
  <c r="AO85" i="1"/>
  <c r="BH85" i="1" s="1"/>
  <c r="AB85" i="1" s="1"/>
  <c r="AK85" i="1"/>
  <c r="AJ85" i="1"/>
  <c r="AH85" i="1"/>
  <c r="AG85" i="1"/>
  <c r="AF85" i="1"/>
  <c r="AE85" i="1"/>
  <c r="AD85" i="1"/>
  <c r="Z85" i="1"/>
  <c r="J85" i="1"/>
  <c r="AL85" i="1" s="1"/>
  <c r="BJ81" i="1"/>
  <c r="BH81" i="1"/>
  <c r="AB81" i="1" s="1"/>
  <c r="BF81" i="1"/>
  <c r="BD81" i="1"/>
  <c r="AP81" i="1"/>
  <c r="BI81" i="1" s="1"/>
  <c r="AC81" i="1" s="1"/>
  <c r="AO81" i="1"/>
  <c r="AL81" i="1"/>
  <c r="AK81" i="1"/>
  <c r="AT80" i="1" s="1"/>
  <c r="AJ81" i="1"/>
  <c r="AH81" i="1"/>
  <c r="AG81" i="1"/>
  <c r="AF81" i="1"/>
  <c r="AE81" i="1"/>
  <c r="AD81" i="1"/>
  <c r="Z81" i="1"/>
  <c r="J81" i="1"/>
  <c r="I81" i="1"/>
  <c r="BJ79" i="1"/>
  <c r="BF79" i="1"/>
  <c r="BD79" i="1"/>
  <c r="AP79" i="1"/>
  <c r="AO79" i="1"/>
  <c r="BH79" i="1" s="1"/>
  <c r="AB79" i="1" s="1"/>
  <c r="AL79" i="1"/>
  <c r="AK79" i="1"/>
  <c r="AJ79" i="1"/>
  <c r="AH79" i="1"/>
  <c r="AG79" i="1"/>
  <c r="AF79" i="1"/>
  <c r="AE79" i="1"/>
  <c r="AD79" i="1"/>
  <c r="Z79" i="1"/>
  <c r="J79" i="1"/>
  <c r="BJ77" i="1"/>
  <c r="BF77" i="1"/>
  <c r="BD77" i="1"/>
  <c r="AP77" i="1"/>
  <c r="BI77" i="1" s="1"/>
  <c r="AC77" i="1" s="1"/>
  <c r="AO77" i="1"/>
  <c r="BH77" i="1" s="1"/>
  <c r="AB77" i="1" s="1"/>
  <c r="AK77" i="1"/>
  <c r="AT70" i="1" s="1"/>
  <c r="AJ77" i="1"/>
  <c r="AH77" i="1"/>
  <c r="AG77" i="1"/>
  <c r="AF77" i="1"/>
  <c r="AE77" i="1"/>
  <c r="AD77" i="1"/>
  <c r="Z77" i="1"/>
  <c r="J77" i="1"/>
  <c r="AL77" i="1" s="1"/>
  <c r="BJ75" i="1"/>
  <c r="BF75" i="1"/>
  <c r="BD75" i="1"/>
  <c r="AP75" i="1"/>
  <c r="I75" i="1" s="1"/>
  <c r="AO75" i="1"/>
  <c r="BH75" i="1" s="1"/>
  <c r="AB75" i="1" s="1"/>
  <c r="AK75" i="1"/>
  <c r="AJ75" i="1"/>
  <c r="AH75" i="1"/>
  <c r="AG75" i="1"/>
  <c r="AF75" i="1"/>
  <c r="AE75" i="1"/>
  <c r="AD75" i="1"/>
  <c r="Z75" i="1"/>
  <c r="J75" i="1"/>
  <c r="AL75" i="1" s="1"/>
  <c r="BJ71" i="1"/>
  <c r="BF71" i="1"/>
  <c r="BD71" i="1"/>
  <c r="AP71" i="1"/>
  <c r="BI71" i="1" s="1"/>
  <c r="AC71" i="1" s="1"/>
  <c r="AO71" i="1"/>
  <c r="AW71" i="1" s="1"/>
  <c r="AL71" i="1"/>
  <c r="AK71" i="1"/>
  <c r="AJ71" i="1"/>
  <c r="AH71" i="1"/>
  <c r="AG71" i="1"/>
  <c r="AF71" i="1"/>
  <c r="AE71" i="1"/>
  <c r="AD71" i="1"/>
  <c r="Z71" i="1"/>
  <c r="J71" i="1"/>
  <c r="BJ68" i="1"/>
  <c r="BF68" i="1"/>
  <c r="BD68" i="1"/>
  <c r="AP68" i="1"/>
  <c r="I68" i="1" s="1"/>
  <c r="AO68" i="1"/>
  <c r="BH68" i="1" s="1"/>
  <c r="AB68" i="1" s="1"/>
  <c r="AK68" i="1"/>
  <c r="AJ68" i="1"/>
  <c r="AH68" i="1"/>
  <c r="AG68" i="1"/>
  <c r="AF68" i="1"/>
  <c r="AE68" i="1"/>
  <c r="AD68" i="1"/>
  <c r="Z68" i="1"/>
  <c r="J68" i="1"/>
  <c r="BJ64" i="1"/>
  <c r="BF64" i="1"/>
  <c r="BD64" i="1"/>
  <c r="AP64" i="1"/>
  <c r="BI64" i="1" s="1"/>
  <c r="AC64" i="1" s="1"/>
  <c r="AO64" i="1"/>
  <c r="AW64" i="1" s="1"/>
  <c r="AK64" i="1"/>
  <c r="AJ64" i="1"/>
  <c r="AS63" i="1" s="1"/>
  <c r="AH64" i="1"/>
  <c r="AG64" i="1"/>
  <c r="AF64" i="1"/>
  <c r="AE64" i="1"/>
  <c r="AD64" i="1"/>
  <c r="Z64" i="1"/>
  <c r="J64" i="1"/>
  <c r="AL64" i="1" s="1"/>
  <c r="AT63" i="1"/>
  <c r="BJ59" i="1"/>
  <c r="BH59" i="1"/>
  <c r="AB59" i="1" s="1"/>
  <c r="BF59" i="1"/>
  <c r="BD59" i="1"/>
  <c r="AP59" i="1"/>
  <c r="I59" i="1" s="1"/>
  <c r="AO59" i="1"/>
  <c r="AK59" i="1"/>
  <c r="AJ59" i="1"/>
  <c r="AH59" i="1"/>
  <c r="AG59" i="1"/>
  <c r="AF59" i="1"/>
  <c r="AE59" i="1"/>
  <c r="AD59" i="1"/>
  <c r="Z59" i="1"/>
  <c r="J59" i="1"/>
  <c r="BJ55" i="1"/>
  <c r="BH55" i="1"/>
  <c r="AB55" i="1" s="1"/>
  <c r="BF55" i="1"/>
  <c r="BD55" i="1"/>
  <c r="AP55" i="1"/>
  <c r="AX55" i="1" s="1"/>
  <c r="AO55" i="1"/>
  <c r="AW55" i="1" s="1"/>
  <c r="BC55" i="1" s="1"/>
  <c r="AK55" i="1"/>
  <c r="AT54" i="1" s="1"/>
  <c r="AJ55" i="1"/>
  <c r="AS54" i="1" s="1"/>
  <c r="AH55" i="1"/>
  <c r="AG55" i="1"/>
  <c r="AF55" i="1"/>
  <c r="AE55" i="1"/>
  <c r="AD55" i="1"/>
  <c r="Z55" i="1"/>
  <c r="J55" i="1"/>
  <c r="AL55" i="1" s="1"/>
  <c r="BJ50" i="1"/>
  <c r="BF50" i="1"/>
  <c r="BD50" i="1"/>
  <c r="AP50" i="1"/>
  <c r="AX50" i="1" s="1"/>
  <c r="AO50" i="1"/>
  <c r="AW50" i="1" s="1"/>
  <c r="AK50" i="1"/>
  <c r="AT49" i="1" s="1"/>
  <c r="AJ50" i="1"/>
  <c r="AS49" i="1" s="1"/>
  <c r="AH50" i="1"/>
  <c r="AG50" i="1"/>
  <c r="AF50" i="1"/>
  <c r="AE50" i="1"/>
  <c r="AD50" i="1"/>
  <c r="Z50" i="1"/>
  <c r="J50" i="1"/>
  <c r="I50" i="1"/>
  <c r="I49" i="1"/>
  <c r="F14" i="2" s="1"/>
  <c r="BJ47" i="1"/>
  <c r="BF47" i="1"/>
  <c r="BD47" i="1"/>
  <c r="AP47" i="1"/>
  <c r="AO47" i="1"/>
  <c r="AW47" i="1" s="1"/>
  <c r="AK47" i="1"/>
  <c r="AJ47" i="1"/>
  <c r="AH47" i="1"/>
  <c r="AG47" i="1"/>
  <c r="AF47" i="1"/>
  <c r="AE47" i="1"/>
  <c r="AD47" i="1"/>
  <c r="Z47" i="1"/>
  <c r="J47" i="1"/>
  <c r="AL47" i="1" s="1"/>
  <c r="H47" i="1"/>
  <c r="BJ44" i="1"/>
  <c r="BF44" i="1"/>
  <c r="BD44" i="1"/>
  <c r="AP44" i="1"/>
  <c r="AX44" i="1" s="1"/>
  <c r="AO44" i="1"/>
  <c r="AW44" i="1" s="1"/>
  <c r="AK44" i="1"/>
  <c r="AJ44" i="1"/>
  <c r="AH44" i="1"/>
  <c r="AG44" i="1"/>
  <c r="AF44" i="1"/>
  <c r="AE44" i="1"/>
  <c r="AD44" i="1"/>
  <c r="Z44" i="1"/>
  <c r="J44" i="1"/>
  <c r="AL44" i="1" s="1"/>
  <c r="BJ41" i="1"/>
  <c r="BF41" i="1"/>
  <c r="BD41" i="1"/>
  <c r="AP41" i="1"/>
  <c r="AX41" i="1" s="1"/>
  <c r="AO41" i="1"/>
  <c r="AW41" i="1" s="1"/>
  <c r="AK41" i="1"/>
  <c r="AJ41" i="1"/>
  <c r="AH41" i="1"/>
  <c r="AG41" i="1"/>
  <c r="AF41" i="1"/>
  <c r="AE41" i="1"/>
  <c r="AD41" i="1"/>
  <c r="Z41" i="1"/>
  <c r="J41" i="1"/>
  <c r="AL41" i="1" s="1"/>
  <c r="J40" i="1"/>
  <c r="G13" i="2" s="1"/>
  <c r="I13" i="2" s="1"/>
  <c r="BJ38" i="1"/>
  <c r="BF38" i="1"/>
  <c r="BD38" i="1"/>
  <c r="AP38" i="1"/>
  <c r="AX38" i="1" s="1"/>
  <c r="AO38" i="1"/>
  <c r="AW38" i="1" s="1"/>
  <c r="AK38" i="1"/>
  <c r="AJ38" i="1"/>
  <c r="AH38" i="1"/>
  <c r="AG38" i="1"/>
  <c r="AF38" i="1"/>
  <c r="AE38" i="1"/>
  <c r="AD38" i="1"/>
  <c r="Z38" i="1"/>
  <c r="J38" i="1"/>
  <c r="AL38" i="1" s="1"/>
  <c r="I38" i="1"/>
  <c r="BJ26" i="1"/>
  <c r="BF26" i="1"/>
  <c r="BD26" i="1"/>
  <c r="AP26" i="1"/>
  <c r="BI26" i="1" s="1"/>
  <c r="AC26" i="1" s="1"/>
  <c r="AO26" i="1"/>
  <c r="AW26" i="1" s="1"/>
  <c r="AK26" i="1"/>
  <c r="AJ26" i="1"/>
  <c r="AH26" i="1"/>
  <c r="AG26" i="1"/>
  <c r="AF26" i="1"/>
  <c r="AE26" i="1"/>
  <c r="AD26" i="1"/>
  <c r="Z26" i="1"/>
  <c r="J26" i="1"/>
  <c r="AL26" i="1" s="1"/>
  <c r="BJ22" i="1"/>
  <c r="BF22" i="1"/>
  <c r="BD22" i="1"/>
  <c r="AP22" i="1"/>
  <c r="AX22" i="1" s="1"/>
  <c r="AO22" i="1"/>
  <c r="BH22" i="1" s="1"/>
  <c r="AB22" i="1" s="1"/>
  <c r="AL22" i="1"/>
  <c r="AK22" i="1"/>
  <c r="AJ22" i="1"/>
  <c r="AH22" i="1"/>
  <c r="AG22" i="1"/>
  <c r="AF22" i="1"/>
  <c r="AE22" i="1"/>
  <c r="AD22" i="1"/>
  <c r="Z22" i="1"/>
  <c r="J22" i="1"/>
  <c r="H22" i="1"/>
  <c r="BJ18" i="1"/>
  <c r="BF18" i="1"/>
  <c r="BD18" i="1"/>
  <c r="AW18" i="1"/>
  <c r="AP18" i="1"/>
  <c r="AO18" i="1"/>
  <c r="BH18" i="1" s="1"/>
  <c r="AB18" i="1" s="1"/>
  <c r="AK18" i="1"/>
  <c r="AJ18" i="1"/>
  <c r="AH18" i="1"/>
  <c r="AG18" i="1"/>
  <c r="AF18" i="1"/>
  <c r="AE18" i="1"/>
  <c r="AD18" i="1"/>
  <c r="Z18" i="1"/>
  <c r="J18" i="1"/>
  <c r="AL18" i="1" s="1"/>
  <c r="BJ14" i="1"/>
  <c r="BF14" i="1"/>
  <c r="BD14" i="1"/>
  <c r="AP14" i="1"/>
  <c r="I14" i="1" s="1"/>
  <c r="AO14" i="1"/>
  <c r="BH14" i="1" s="1"/>
  <c r="AB14" i="1" s="1"/>
  <c r="AK14" i="1"/>
  <c r="AJ14" i="1"/>
  <c r="AH14" i="1"/>
  <c r="AG14" i="1"/>
  <c r="AF14" i="1"/>
  <c r="AE14" i="1"/>
  <c r="AD14" i="1"/>
  <c r="Z14" i="1"/>
  <c r="J14" i="1"/>
  <c r="AL14" i="1" s="1"/>
  <c r="H14" i="1"/>
  <c r="AU1" i="1"/>
  <c r="AT1" i="1"/>
  <c r="AS1" i="1"/>
  <c r="AW14" i="1" l="1"/>
  <c r="AX14" i="1"/>
  <c r="BC188" i="1"/>
  <c r="BC661" i="1"/>
  <c r="AV661" i="1"/>
  <c r="BI269" i="1"/>
  <c r="AC269" i="1" s="1"/>
  <c r="I269" i="1"/>
  <c r="AX400" i="1"/>
  <c r="BI400" i="1"/>
  <c r="AC400" i="1" s="1"/>
  <c r="I400" i="1"/>
  <c r="I628" i="1"/>
  <c r="AX628" i="1"/>
  <c r="BC628" i="1" s="1"/>
  <c r="AW635" i="1"/>
  <c r="AV635" i="1" s="1"/>
  <c r="H635" i="1"/>
  <c r="BI698" i="1"/>
  <c r="AG698" i="1" s="1"/>
  <c r="I698" i="1"/>
  <c r="BH702" i="1"/>
  <c r="AF702" i="1" s="1"/>
  <c r="H702" i="1"/>
  <c r="AW702" i="1"/>
  <c r="AL297" i="1"/>
  <c r="J296" i="1"/>
  <c r="G35" i="2" s="1"/>
  <c r="I35" i="2" s="1"/>
  <c r="AT447" i="1"/>
  <c r="BH524" i="1"/>
  <c r="AD524" i="1" s="1"/>
  <c r="AW524" i="1"/>
  <c r="AW252" i="1"/>
  <c r="H252" i="1"/>
  <c r="H251" i="1" s="1"/>
  <c r="E33" i="2" s="1"/>
  <c r="AX474" i="1"/>
  <c r="I610" i="1"/>
  <c r="AU435" i="1"/>
  <c r="AX476" i="1"/>
  <c r="H524" i="1"/>
  <c r="I710" i="1"/>
  <c r="BI120" i="1"/>
  <c r="AE120" i="1" s="1"/>
  <c r="I120" i="1"/>
  <c r="I119" i="1" s="1"/>
  <c r="F21" i="2" s="1"/>
  <c r="AS143" i="1"/>
  <c r="BI499" i="1"/>
  <c r="AE499" i="1" s="1"/>
  <c r="I499" i="1"/>
  <c r="J552" i="1"/>
  <c r="G50" i="2" s="1"/>
  <c r="I50" i="2" s="1"/>
  <c r="BH629" i="1"/>
  <c r="AB629" i="1" s="1"/>
  <c r="BI18" i="1"/>
  <c r="AC18" i="1" s="1"/>
  <c r="AX18" i="1"/>
  <c r="BC18" i="1" s="1"/>
  <c r="BH64" i="1"/>
  <c r="AB64" i="1" s="1"/>
  <c r="AT143" i="1"/>
  <c r="AT166" i="1"/>
  <c r="AS296" i="1"/>
  <c r="I474" i="1"/>
  <c r="AW499" i="1"/>
  <c r="BC499" i="1" s="1"/>
  <c r="BH658" i="1"/>
  <c r="AF658" i="1" s="1"/>
  <c r="H658" i="1"/>
  <c r="F37" i="4"/>
  <c r="I37" i="4" s="1"/>
  <c r="I44" i="1"/>
  <c r="H64" i="1"/>
  <c r="BI85" i="1"/>
  <c r="AC85" i="1" s="1"/>
  <c r="AX85" i="1"/>
  <c r="AL118" i="1"/>
  <c r="AU117" i="1" s="1"/>
  <c r="J117" i="1"/>
  <c r="G20" i="2" s="1"/>
  <c r="I20" i="2" s="1"/>
  <c r="AX120" i="1"/>
  <c r="AU143" i="1"/>
  <c r="AX499" i="1"/>
  <c r="AV658" i="1"/>
  <c r="H318" i="1"/>
  <c r="AW318" i="1"/>
  <c r="AV318" i="1" s="1"/>
  <c r="AW478" i="1"/>
  <c r="AV478" i="1" s="1"/>
  <c r="AV129" i="1"/>
  <c r="BC129" i="1"/>
  <c r="BI146" i="1"/>
  <c r="AE146" i="1" s="1"/>
  <c r="I146" i="1"/>
  <c r="AX146" i="1"/>
  <c r="BH165" i="1"/>
  <c r="AF165" i="1" s="1"/>
  <c r="H165" i="1"/>
  <c r="J63" i="1"/>
  <c r="G16" i="2" s="1"/>
  <c r="I16" i="2" s="1"/>
  <c r="BI167" i="1"/>
  <c r="I167" i="1"/>
  <c r="I235" i="1"/>
  <c r="I234" i="1" s="1"/>
  <c r="F30" i="2" s="1"/>
  <c r="J317" i="1"/>
  <c r="G37" i="2" s="1"/>
  <c r="I37" i="2" s="1"/>
  <c r="AL318" i="1"/>
  <c r="AU317" i="1" s="1"/>
  <c r="H499" i="1"/>
  <c r="H497" i="1" s="1"/>
  <c r="E48" i="2" s="1"/>
  <c r="AS552" i="1"/>
  <c r="I591" i="1"/>
  <c r="AX591" i="1"/>
  <c r="AV655" i="1"/>
  <c r="BI529" i="1"/>
  <c r="AE529" i="1" s="1"/>
  <c r="AX529" i="1"/>
  <c r="I635" i="1"/>
  <c r="BI635" i="1"/>
  <c r="AG635" i="1" s="1"/>
  <c r="AW546" i="1"/>
  <c r="AT709" i="1"/>
  <c r="H715" i="1"/>
  <c r="AW715" i="1"/>
  <c r="BC715" i="1" s="1"/>
  <c r="BH110" i="1"/>
  <c r="AB110" i="1" s="1"/>
  <c r="H110" i="1"/>
  <c r="AW110" i="1"/>
  <c r="J166" i="1"/>
  <c r="G27" i="2" s="1"/>
  <c r="I27" i="2" s="1"/>
  <c r="I436" i="1"/>
  <c r="AS662" i="1"/>
  <c r="H606" i="1"/>
  <c r="BI151" i="1"/>
  <c r="AG151" i="1" s="1"/>
  <c r="I151" i="1"/>
  <c r="AU70" i="1"/>
  <c r="AV86" i="1"/>
  <c r="BH90" i="1"/>
  <c r="AB90" i="1" s="1"/>
  <c r="H90" i="1"/>
  <c r="BI97" i="1"/>
  <c r="AC97" i="1" s="1"/>
  <c r="I97" i="1"/>
  <c r="AX97" i="1"/>
  <c r="H120" i="1"/>
  <c r="H119" i="1" s="1"/>
  <c r="E21" i="2" s="1"/>
  <c r="AX142" i="1"/>
  <c r="BC142" i="1" s="1"/>
  <c r="AX162" i="1"/>
  <c r="BC162" i="1" s="1"/>
  <c r="BI164" i="1"/>
  <c r="AG164" i="1" s="1"/>
  <c r="I164" i="1"/>
  <c r="AS254" i="1"/>
  <c r="AS404" i="1"/>
  <c r="BI419" i="1"/>
  <c r="AE419" i="1" s="1"/>
  <c r="AX419" i="1"/>
  <c r="J502" i="1"/>
  <c r="G49" i="2" s="1"/>
  <c r="I49" i="2" s="1"/>
  <c r="AU598" i="1"/>
  <c r="AT598" i="1"/>
  <c r="AW654" i="1"/>
  <c r="BC654" i="1" s="1"/>
  <c r="H681" i="1"/>
  <c r="AW681" i="1"/>
  <c r="AV681" i="1" s="1"/>
  <c r="BH469" i="1"/>
  <c r="H469" i="1"/>
  <c r="AW469" i="1"/>
  <c r="BC469" i="1" s="1"/>
  <c r="BI673" i="1"/>
  <c r="AG673" i="1" s="1"/>
  <c r="AX673" i="1"/>
  <c r="AV673" i="1" s="1"/>
  <c r="AW684" i="1"/>
  <c r="H684" i="1"/>
  <c r="BH684" i="1"/>
  <c r="AF684" i="1" s="1"/>
  <c r="AW630" i="1"/>
  <c r="H630" i="1"/>
  <c r="BC674" i="1"/>
  <c r="AV674" i="1"/>
  <c r="I630" i="1"/>
  <c r="BI630" i="1"/>
  <c r="AC630" i="1" s="1"/>
  <c r="AW683" i="1"/>
  <c r="AT244" i="1"/>
  <c r="BI436" i="1"/>
  <c r="AE436" i="1" s="1"/>
  <c r="BI110" i="1"/>
  <c r="AC110" i="1" s="1"/>
  <c r="AX110" i="1"/>
  <c r="BI190" i="1"/>
  <c r="I190" i="1"/>
  <c r="AX77" i="1"/>
  <c r="H156" i="1"/>
  <c r="AW156" i="1"/>
  <c r="AX190" i="1"/>
  <c r="H385" i="1"/>
  <c r="H159" i="1"/>
  <c r="H158" i="1" s="1"/>
  <c r="E26" i="2" s="1"/>
  <c r="AW159" i="1"/>
  <c r="I77" i="1"/>
  <c r="I110" i="1"/>
  <c r="BH175" i="1"/>
  <c r="H175" i="1"/>
  <c r="AW88" i="1"/>
  <c r="BI90" i="1"/>
  <c r="AC90" i="1" s="1"/>
  <c r="I90" i="1"/>
  <c r="BH91" i="1"/>
  <c r="AB91" i="1" s="1"/>
  <c r="H91" i="1"/>
  <c r="AW91" i="1"/>
  <c r="AV91" i="1" s="1"/>
  <c r="AU128" i="1"/>
  <c r="I142" i="1"/>
  <c r="AW164" i="1"/>
  <c r="BH428" i="1"/>
  <c r="AD428" i="1" s="1"/>
  <c r="H428" i="1"/>
  <c r="H654" i="1"/>
  <c r="AX654" i="1"/>
  <c r="H719" i="1"/>
  <c r="AW719" i="1"/>
  <c r="BI350" i="1"/>
  <c r="AC350" i="1" s="1"/>
  <c r="AX350" i="1"/>
  <c r="AV486" i="1"/>
  <c r="BH626" i="1"/>
  <c r="AB626" i="1" s="1"/>
  <c r="AW626" i="1"/>
  <c r="H626" i="1"/>
  <c r="BI697" i="1"/>
  <c r="AG697" i="1" s="1"/>
  <c r="I697" i="1"/>
  <c r="BI700" i="1"/>
  <c r="AG700" i="1" s="1"/>
  <c r="I700" i="1"/>
  <c r="AX700" i="1"/>
  <c r="AT254" i="1"/>
  <c r="AW262" i="1"/>
  <c r="BC262" i="1" s="1"/>
  <c r="H262" i="1"/>
  <c r="AW385" i="1"/>
  <c r="AV385" i="1" s="1"/>
  <c r="AU447" i="1"/>
  <c r="BH476" i="1"/>
  <c r="AD476" i="1" s="1"/>
  <c r="H476" i="1"/>
  <c r="BI487" i="1"/>
  <c r="I487" i="1"/>
  <c r="AX487" i="1"/>
  <c r="AS502" i="1"/>
  <c r="BI632" i="1"/>
  <c r="AC632" i="1" s="1"/>
  <c r="I632" i="1"/>
  <c r="AX698" i="1"/>
  <c r="C20" i="3"/>
  <c r="I47" i="1"/>
  <c r="AX47" i="1"/>
  <c r="BC47" i="1" s="1"/>
  <c r="BC102" i="1"/>
  <c r="BI109" i="1"/>
  <c r="AC109" i="1" s="1"/>
  <c r="I109" i="1"/>
  <c r="AS244" i="1"/>
  <c r="BH255" i="1"/>
  <c r="AB255" i="1" s="1"/>
  <c r="AW255" i="1"/>
  <c r="BC255" i="1" s="1"/>
  <c r="AS309" i="1"/>
  <c r="BH496" i="1"/>
  <c r="H496" i="1"/>
  <c r="AW496" i="1"/>
  <c r="BI623" i="1"/>
  <c r="AC623" i="1" s="1"/>
  <c r="AX107" i="1"/>
  <c r="AX188" i="1"/>
  <c r="AV188" i="1" s="1"/>
  <c r="AX255" i="1"/>
  <c r="I255" i="1"/>
  <c r="AT309" i="1"/>
  <c r="I188" i="1"/>
  <c r="I535" i="1"/>
  <c r="H546" i="1"/>
  <c r="I694" i="1"/>
  <c r="BH711" i="1"/>
  <c r="AW711" i="1"/>
  <c r="H711" i="1"/>
  <c r="BI79" i="1"/>
  <c r="AC79" i="1" s="1"/>
  <c r="I79" i="1"/>
  <c r="AU384" i="1"/>
  <c r="BI123" i="1"/>
  <c r="AE123" i="1" s="1"/>
  <c r="I123" i="1"/>
  <c r="AX123" i="1"/>
  <c r="H474" i="1"/>
  <c r="I488" i="1"/>
  <c r="F47" i="2" s="1"/>
  <c r="AX498" i="1"/>
  <c r="BC498" i="1" s="1"/>
  <c r="BH500" i="1"/>
  <c r="AD500" i="1" s="1"/>
  <c r="H500" i="1"/>
  <c r="AW500" i="1"/>
  <c r="AV500" i="1" s="1"/>
  <c r="I629" i="1"/>
  <c r="AT657" i="1"/>
  <c r="J49" i="1"/>
  <c r="G14" i="2" s="1"/>
  <c r="I14" i="2" s="1"/>
  <c r="AL50" i="1"/>
  <c r="AU49" i="1" s="1"/>
  <c r="BH167" i="1"/>
  <c r="H167" i="1"/>
  <c r="AL316" i="1"/>
  <c r="J309" i="1"/>
  <c r="G36" i="2" s="1"/>
  <c r="I36" i="2" s="1"/>
  <c r="AW658" i="1"/>
  <c r="BC665" i="1"/>
  <c r="AV665" i="1"/>
  <c r="I670" i="1"/>
  <c r="I18" i="1"/>
  <c r="I85" i="1"/>
  <c r="BI91" i="1"/>
  <c r="AC91" i="1" s="1"/>
  <c r="I91" i="1"/>
  <c r="H133" i="1"/>
  <c r="BH403" i="1"/>
  <c r="H403" i="1"/>
  <c r="H402" i="1" s="1"/>
  <c r="E40" i="2" s="1"/>
  <c r="AV421" i="1"/>
  <c r="AX431" i="1"/>
  <c r="AV431" i="1" s="1"/>
  <c r="BI431" i="1"/>
  <c r="AE431" i="1" s="1"/>
  <c r="I431" i="1"/>
  <c r="AW434" i="1"/>
  <c r="AV434" i="1" s="1"/>
  <c r="BH434" i="1"/>
  <c r="H434" i="1"/>
  <c r="AW596" i="1"/>
  <c r="AV596" i="1" s="1"/>
  <c r="BI599" i="1"/>
  <c r="AC599" i="1" s="1"/>
  <c r="I599" i="1"/>
  <c r="BH601" i="1"/>
  <c r="AB601" i="1" s="1"/>
  <c r="H601" i="1"/>
  <c r="H598" i="1" s="1"/>
  <c r="E52" i="2" s="1"/>
  <c r="AW601" i="1"/>
  <c r="BC601" i="1" s="1"/>
  <c r="AT622" i="1"/>
  <c r="AS634" i="1"/>
  <c r="BH637" i="1"/>
  <c r="AF637" i="1" s="1"/>
  <c r="H637" i="1"/>
  <c r="AW637" i="1"/>
  <c r="AV637" i="1" s="1"/>
  <c r="I645" i="1"/>
  <c r="I650" i="1"/>
  <c r="I649" i="1" s="1"/>
  <c r="F59" i="2" s="1"/>
  <c r="AU651" i="1"/>
  <c r="I654" i="1"/>
  <c r="I719" i="1"/>
  <c r="AX269" i="1"/>
  <c r="AX459" i="1"/>
  <c r="BC459" i="1" s="1"/>
  <c r="I459" i="1"/>
  <c r="BI486" i="1"/>
  <c r="AE486" i="1" s="1"/>
  <c r="I486" i="1"/>
  <c r="BH487" i="1"/>
  <c r="H487" i="1"/>
  <c r="AW487" i="1"/>
  <c r="AV487" i="1" s="1"/>
  <c r="AX546" i="1"/>
  <c r="BC546" i="1" s="1"/>
  <c r="I546" i="1"/>
  <c r="AW551" i="1"/>
  <c r="H551" i="1"/>
  <c r="BH605" i="1"/>
  <c r="AB605" i="1" s="1"/>
  <c r="AW605" i="1"/>
  <c r="AX683" i="1"/>
  <c r="BI683" i="1"/>
  <c r="AG683" i="1" s="1"/>
  <c r="AX102" i="1"/>
  <c r="AV102" i="1" s="1"/>
  <c r="AX694" i="1"/>
  <c r="BC694" i="1" s="1"/>
  <c r="AW107" i="1"/>
  <c r="BC107" i="1" s="1"/>
  <c r="AX453" i="1"/>
  <c r="I453" i="1"/>
  <c r="AW695" i="1"/>
  <c r="BC695" i="1" s="1"/>
  <c r="AW109" i="1"/>
  <c r="AW474" i="1"/>
  <c r="BC474" i="1" s="1"/>
  <c r="BI628" i="1"/>
  <c r="AC628" i="1" s="1"/>
  <c r="AW629" i="1"/>
  <c r="H683" i="1"/>
  <c r="AX710" i="1"/>
  <c r="I715" i="1"/>
  <c r="I716" i="1"/>
  <c r="AX716" i="1"/>
  <c r="I102" i="1"/>
  <c r="AX109" i="1"/>
  <c r="AW476" i="1"/>
  <c r="H123" i="1"/>
  <c r="H122" i="1" s="1"/>
  <c r="E22" i="2" s="1"/>
  <c r="AW123" i="1"/>
  <c r="AW245" i="1"/>
  <c r="BC245" i="1" s="1"/>
  <c r="H245" i="1"/>
  <c r="H244" i="1" s="1"/>
  <c r="E32" i="2" s="1"/>
  <c r="H526" i="1"/>
  <c r="BH661" i="1"/>
  <c r="AF661" i="1" s="1"/>
  <c r="H661" i="1"/>
  <c r="H660" i="1" s="1"/>
  <c r="E62" i="2" s="1"/>
  <c r="I673" i="1"/>
  <c r="H695" i="1"/>
  <c r="BI711" i="1"/>
  <c r="I711" i="1"/>
  <c r="AW79" i="1"/>
  <c r="H107" i="1"/>
  <c r="AX235" i="1"/>
  <c r="J54" i="1"/>
  <c r="G15" i="2" s="1"/>
  <c r="I15" i="2" s="1"/>
  <c r="AX79" i="1"/>
  <c r="AW120" i="1"/>
  <c r="AV120" i="1" s="1"/>
  <c r="AT128" i="1"/>
  <c r="H79" i="1"/>
  <c r="I321" i="1"/>
  <c r="I498" i="1"/>
  <c r="BH655" i="1"/>
  <c r="AF655" i="1" s="1"/>
  <c r="H655" i="1"/>
  <c r="AU40" i="1"/>
  <c r="AX90" i="1"/>
  <c r="AV90" i="1" s="1"/>
  <c r="I133" i="1"/>
  <c r="H136" i="1"/>
  <c r="I162" i="1"/>
  <c r="AX179" i="1"/>
  <c r="I179" i="1"/>
  <c r="BH274" i="1"/>
  <c r="AB274" i="1" s="1"/>
  <c r="H274" i="1"/>
  <c r="AW274" i="1"/>
  <c r="AV274" i="1" s="1"/>
  <c r="AV391" i="1"/>
  <c r="BI425" i="1"/>
  <c r="AE425" i="1" s="1"/>
  <c r="I425" i="1"/>
  <c r="AX428" i="1"/>
  <c r="AW431" i="1"/>
  <c r="AT454" i="1"/>
  <c r="AW464" i="1"/>
  <c r="H464" i="1"/>
  <c r="BH532" i="1"/>
  <c r="AD532" i="1" s="1"/>
  <c r="AW532" i="1"/>
  <c r="AW599" i="1"/>
  <c r="BH608" i="1"/>
  <c r="AB608" i="1" s="1"/>
  <c r="AW608" i="1"/>
  <c r="H627" i="1"/>
  <c r="E56" i="2" s="1"/>
  <c r="AT634" i="1"/>
  <c r="BI636" i="1"/>
  <c r="AG636" i="1" s="1"/>
  <c r="I636" i="1"/>
  <c r="AL645" i="1"/>
  <c r="AU644" i="1" s="1"/>
  <c r="J644" i="1"/>
  <c r="G58" i="2" s="1"/>
  <c r="I58" i="2" s="1"/>
  <c r="BH698" i="1"/>
  <c r="AF698" i="1" s="1"/>
  <c r="H698" i="1"/>
  <c r="I704" i="1"/>
  <c r="AX704" i="1"/>
  <c r="AV85" i="1"/>
  <c r="AU309" i="1"/>
  <c r="H408" i="1"/>
  <c r="J488" i="1"/>
  <c r="G47" i="2" s="1"/>
  <c r="I47" i="2" s="1"/>
  <c r="AS70" i="1"/>
  <c r="AS80" i="1"/>
  <c r="I113" i="1"/>
  <c r="I127" i="1"/>
  <c r="AU149" i="1"/>
  <c r="I201" i="1"/>
  <c r="I276" i="1"/>
  <c r="H292" i="1"/>
  <c r="H316" i="1"/>
  <c r="AT384" i="1"/>
  <c r="BH415" i="1"/>
  <c r="AD415" i="1" s="1"/>
  <c r="I467" i="1"/>
  <c r="I493" i="1"/>
  <c r="AT497" i="1"/>
  <c r="I503" i="1"/>
  <c r="I514" i="1"/>
  <c r="H515" i="1"/>
  <c r="H556" i="1"/>
  <c r="H565" i="1"/>
  <c r="H642" i="1"/>
  <c r="AT651" i="1"/>
  <c r="H665" i="1"/>
  <c r="I669" i="1"/>
  <c r="AX676" i="1"/>
  <c r="I689" i="1"/>
  <c r="AS709" i="1"/>
  <c r="H713" i="1"/>
  <c r="AX718" i="1"/>
  <c r="AV718" i="1" s="1"/>
  <c r="I722" i="1"/>
  <c r="I22" i="3"/>
  <c r="J99" i="1"/>
  <c r="G19" i="2" s="1"/>
  <c r="I19" i="2" s="1"/>
  <c r="H155" i="1"/>
  <c r="BC436" i="1"/>
  <c r="AT470" i="1"/>
  <c r="AV524" i="1"/>
  <c r="AV605" i="1"/>
  <c r="AS651" i="1"/>
  <c r="J662" i="1"/>
  <c r="G63" i="2" s="1"/>
  <c r="I63" i="2" s="1"/>
  <c r="BC681" i="1"/>
  <c r="AW22" i="1"/>
  <c r="H85" i="1"/>
  <c r="BC85" i="1"/>
  <c r="H115" i="1"/>
  <c r="AW131" i="1"/>
  <c r="AV131" i="1" s="1"/>
  <c r="H157" i="1"/>
  <c r="AX159" i="1"/>
  <c r="AX183" i="1"/>
  <c r="H204" i="1"/>
  <c r="AW222" i="1"/>
  <c r="H297" i="1"/>
  <c r="I316" i="1"/>
  <c r="AX318" i="1"/>
  <c r="AX336" i="1"/>
  <c r="AW353" i="1"/>
  <c r="BC353" i="1" s="1"/>
  <c r="AW421" i="1"/>
  <c r="AX469" i="1"/>
  <c r="AV469" i="1" s="1"/>
  <c r="AX496" i="1"/>
  <c r="BC496" i="1" s="1"/>
  <c r="H507" i="1"/>
  <c r="I515" i="1"/>
  <c r="AX532" i="1"/>
  <c r="BC532" i="1" s="1"/>
  <c r="I565" i="1"/>
  <c r="AW592" i="1"/>
  <c r="AX608" i="1"/>
  <c r="AX615" i="1"/>
  <c r="AS622" i="1"/>
  <c r="I642" i="1"/>
  <c r="H643" i="1"/>
  <c r="H645" i="1"/>
  <c r="I647" i="1"/>
  <c r="AW648" i="1"/>
  <c r="BC648" i="1" s="1"/>
  <c r="AS657" i="1"/>
  <c r="H670" i="1"/>
  <c r="I672" i="1"/>
  <c r="H673" i="1"/>
  <c r="H687" i="1"/>
  <c r="H690" i="1"/>
  <c r="AX693" i="1"/>
  <c r="AS40" i="1"/>
  <c r="AS128" i="1"/>
  <c r="AS166" i="1"/>
  <c r="AT296" i="1"/>
  <c r="AX312" i="1"/>
  <c r="BC312" i="1" s="1"/>
  <c r="AX403" i="1"/>
  <c r="AX464" i="1"/>
  <c r="AX559" i="1"/>
  <c r="J598" i="1"/>
  <c r="G52" i="2" s="1"/>
  <c r="I52" i="2" s="1"/>
  <c r="AX640" i="1"/>
  <c r="AX685" i="1"/>
  <c r="AV721" i="1"/>
  <c r="AW154" i="1"/>
  <c r="AV154" i="1" s="1"/>
  <c r="H192" i="1"/>
  <c r="AW192" i="1"/>
  <c r="AX274" i="1"/>
  <c r="AW313" i="1"/>
  <c r="AV313" i="1" s="1"/>
  <c r="AW405" i="1"/>
  <c r="AW561" i="1"/>
  <c r="I626" i="1"/>
  <c r="AX637" i="1"/>
  <c r="AW663" i="1"/>
  <c r="BC663" i="1" s="1"/>
  <c r="AW721" i="1"/>
  <c r="BC721" i="1" s="1"/>
  <c r="F22" i="3"/>
  <c r="AT40" i="1"/>
  <c r="AX81" i="1"/>
  <c r="AS158" i="1"/>
  <c r="J254" i="1"/>
  <c r="G34" i="2" s="1"/>
  <c r="I34" i="2" s="1"/>
  <c r="BC288" i="1"/>
  <c r="AT317" i="1"/>
  <c r="AX514" i="1"/>
  <c r="AW553" i="1"/>
  <c r="AV553" i="1" s="1"/>
  <c r="AS577" i="1"/>
  <c r="AT603" i="1"/>
  <c r="AX626" i="1"/>
  <c r="BC638" i="1"/>
  <c r="AX667" i="1"/>
  <c r="AT677" i="1"/>
  <c r="AX686" i="1"/>
  <c r="BC686" i="1" s="1"/>
  <c r="AX689" i="1"/>
  <c r="H721" i="1"/>
  <c r="AS13" i="1"/>
  <c r="AW98" i="1"/>
  <c r="AW113" i="1"/>
  <c r="BC113" i="1" s="1"/>
  <c r="AW127" i="1"/>
  <c r="AV127" i="1" s="1"/>
  <c r="J149" i="1"/>
  <c r="G25" i="2" s="1"/>
  <c r="I25" i="2" s="1"/>
  <c r="H154" i="1"/>
  <c r="AW201" i="1"/>
  <c r="I274" i="1"/>
  <c r="AS340" i="1"/>
  <c r="I464" i="1"/>
  <c r="AX467" i="1"/>
  <c r="AV467" i="1" s="1"/>
  <c r="AX493" i="1"/>
  <c r="BC493" i="1" s="1"/>
  <c r="AW503" i="1"/>
  <c r="AV503" i="1" s="1"/>
  <c r="AX521" i="1"/>
  <c r="BC521" i="1" s="1"/>
  <c r="H553" i="1"/>
  <c r="AV565" i="1"/>
  <c r="AT577" i="1"/>
  <c r="I601" i="1"/>
  <c r="AW604" i="1"/>
  <c r="BC604" i="1" s="1"/>
  <c r="I637" i="1"/>
  <c r="BC645" i="1"/>
  <c r="AX647" i="1"/>
  <c r="H663" i="1"/>
  <c r="AW669" i="1"/>
  <c r="AX672" i="1"/>
  <c r="BC680" i="1"/>
  <c r="AX701" i="1"/>
  <c r="BC701" i="1" s="1"/>
  <c r="AW717" i="1"/>
  <c r="BC717" i="1" s="1"/>
  <c r="I18" i="4"/>
  <c r="AV38" i="1"/>
  <c r="BC38" i="1"/>
  <c r="AV22" i="1"/>
  <c r="BC22" i="1"/>
  <c r="BC50" i="1"/>
  <c r="AV50" i="1"/>
  <c r="AU13" i="1"/>
  <c r="BC41" i="1"/>
  <c r="AV41" i="1"/>
  <c r="BC44" i="1"/>
  <c r="AV44" i="1"/>
  <c r="BI14" i="1"/>
  <c r="AC14" i="1" s="1"/>
  <c r="H18" i="1"/>
  <c r="AV18" i="1"/>
  <c r="BI22" i="1"/>
  <c r="AC22" i="1" s="1"/>
  <c r="BH26" i="1"/>
  <c r="AB26" i="1" s="1"/>
  <c r="BH41" i="1"/>
  <c r="AB41" i="1" s="1"/>
  <c r="AX64" i="1"/>
  <c r="I64" i="1"/>
  <c r="I63" i="1" s="1"/>
  <c r="F16" i="2" s="1"/>
  <c r="H71" i="1"/>
  <c r="AW75" i="1"/>
  <c r="H75" i="1"/>
  <c r="AX96" i="1"/>
  <c r="I96" i="1"/>
  <c r="AW97" i="1"/>
  <c r="H97" i="1"/>
  <c r="AW100" i="1"/>
  <c r="H100" i="1"/>
  <c r="BH100" i="1"/>
  <c r="AB100" i="1" s="1"/>
  <c r="BC146" i="1"/>
  <c r="AV146" i="1"/>
  <c r="BC151" i="1"/>
  <c r="AV151" i="1"/>
  <c r="BC183" i="1"/>
  <c r="AV183" i="1"/>
  <c r="BH38" i="1"/>
  <c r="AB38" i="1" s="1"/>
  <c r="C21" i="3"/>
  <c r="C27" i="3"/>
  <c r="I22" i="1"/>
  <c r="H26" i="1"/>
  <c r="BI38" i="1"/>
  <c r="AC38" i="1" s="1"/>
  <c r="H41" i="1"/>
  <c r="BI44" i="1"/>
  <c r="AC44" i="1" s="1"/>
  <c r="BH47" i="1"/>
  <c r="AB47" i="1" s="1"/>
  <c r="BI50" i="1"/>
  <c r="AC50" i="1" s="1"/>
  <c r="H55" i="1"/>
  <c r="AV55" i="1"/>
  <c r="AL68" i="1"/>
  <c r="AU63" i="1" s="1"/>
  <c r="BI68" i="1"/>
  <c r="AC68" i="1" s="1"/>
  <c r="BH71" i="1"/>
  <c r="AB71" i="1" s="1"/>
  <c r="AX75" i="1"/>
  <c r="J80" i="1"/>
  <c r="G18" i="2" s="1"/>
  <c r="I18" i="2" s="1"/>
  <c r="AL90" i="1"/>
  <c r="BC155" i="1"/>
  <c r="AV155" i="1"/>
  <c r="BC177" i="1"/>
  <c r="AV177" i="1"/>
  <c r="J13" i="1"/>
  <c r="C28" i="3"/>
  <c r="F28" i="3" s="1"/>
  <c r="I26" i="1"/>
  <c r="I13" i="1" s="1"/>
  <c r="H38" i="1"/>
  <c r="I41" i="1"/>
  <c r="I40" i="1" s="1"/>
  <c r="F13" i="2" s="1"/>
  <c r="H44" i="1"/>
  <c r="BI47" i="1"/>
  <c r="AC47" i="1" s="1"/>
  <c r="H50" i="1"/>
  <c r="H49" i="1" s="1"/>
  <c r="E14" i="2" s="1"/>
  <c r="I55" i="1"/>
  <c r="I54" i="1" s="1"/>
  <c r="F15" i="2" s="1"/>
  <c r="H63" i="1"/>
  <c r="E16" i="2" s="1"/>
  <c r="AW68" i="1"/>
  <c r="H68" i="1"/>
  <c r="BI96" i="1"/>
  <c r="AC96" i="1" s="1"/>
  <c r="BI41" i="1"/>
  <c r="AC41" i="1" s="1"/>
  <c r="BH44" i="1"/>
  <c r="AB44" i="1" s="1"/>
  <c r="BH50" i="1"/>
  <c r="AB50" i="1" s="1"/>
  <c r="AX26" i="1"/>
  <c r="BC26" i="1" s="1"/>
  <c r="AL59" i="1"/>
  <c r="AU54" i="1" s="1"/>
  <c r="BI59" i="1"/>
  <c r="AC59" i="1" s="1"/>
  <c r="AT13" i="1"/>
  <c r="AW59" i="1"/>
  <c r="H59" i="1"/>
  <c r="AX68" i="1"/>
  <c r="J70" i="1"/>
  <c r="G17" i="2" s="1"/>
  <c r="I17" i="2" s="1"/>
  <c r="AX71" i="1"/>
  <c r="AV71" i="1" s="1"/>
  <c r="I71" i="1"/>
  <c r="BH97" i="1"/>
  <c r="AB97" i="1" s="1"/>
  <c r="AU158" i="1"/>
  <c r="AW77" i="1"/>
  <c r="H77" i="1"/>
  <c r="BI55" i="1"/>
  <c r="AC55" i="1" s="1"/>
  <c r="AX59" i="1"/>
  <c r="BI75" i="1"/>
  <c r="AC75" i="1" s="1"/>
  <c r="AW81" i="1"/>
  <c r="H81" i="1"/>
  <c r="AU122" i="1"/>
  <c r="BC179" i="1"/>
  <c r="AV179" i="1"/>
  <c r="BI139" i="1"/>
  <c r="AE139" i="1" s="1"/>
  <c r="BH142" i="1"/>
  <c r="BI144" i="1"/>
  <c r="AE144" i="1" s="1"/>
  <c r="BH146" i="1"/>
  <c r="AD146" i="1" s="1"/>
  <c r="BI150" i="1"/>
  <c r="AG150" i="1" s="1"/>
  <c r="BH151" i="1"/>
  <c r="AF151" i="1" s="1"/>
  <c r="BI176" i="1"/>
  <c r="BH177" i="1"/>
  <c r="BC201" i="1"/>
  <c r="AV201" i="1"/>
  <c r="BC90" i="1"/>
  <c r="AX91" i="1"/>
  <c r="BC91" i="1" s="1"/>
  <c r="I92" i="1"/>
  <c r="AW92" i="1"/>
  <c r="H96" i="1"/>
  <c r="AX113" i="1"/>
  <c r="I115" i="1"/>
  <c r="AW115" i="1"/>
  <c r="AX118" i="1"/>
  <c r="BC118" i="1" s="1"/>
  <c r="BC120" i="1"/>
  <c r="J122" i="1"/>
  <c r="G22" i="2" s="1"/>
  <c r="I22" i="2" s="1"/>
  <c r="BC127" i="1"/>
  <c r="J128" i="1"/>
  <c r="G23" i="2" s="1"/>
  <c r="I23" i="2" s="1"/>
  <c r="BC131" i="1"/>
  <c r="AX133" i="1"/>
  <c r="AV133" i="1" s="1"/>
  <c r="I136" i="1"/>
  <c r="AW136" i="1"/>
  <c r="H139" i="1"/>
  <c r="H144" i="1"/>
  <c r="H150" i="1"/>
  <c r="BC157" i="1"/>
  <c r="J158" i="1"/>
  <c r="G26" i="2" s="1"/>
  <c r="I26" i="2" s="1"/>
  <c r="AX164" i="1"/>
  <c r="AV164" i="1" s="1"/>
  <c r="I165" i="1"/>
  <c r="AW165" i="1"/>
  <c r="AX167" i="1"/>
  <c r="BC167" i="1" s="1"/>
  <c r="I175" i="1"/>
  <c r="AW175" i="1"/>
  <c r="H176" i="1"/>
  <c r="AL183" i="1"/>
  <c r="AU166" i="1" s="1"/>
  <c r="BC204" i="1"/>
  <c r="AV222" i="1"/>
  <c r="BC373" i="1"/>
  <c r="AV373" i="1"/>
  <c r="BC389" i="1"/>
  <c r="AV389" i="1"/>
  <c r="AX92" i="1"/>
  <c r="AW96" i="1"/>
  <c r="AX115" i="1"/>
  <c r="J119" i="1"/>
  <c r="G21" i="2" s="1"/>
  <c r="I21" i="2" s="1"/>
  <c r="AX136" i="1"/>
  <c r="I139" i="1"/>
  <c r="AW139" i="1"/>
  <c r="H142" i="1"/>
  <c r="I144" i="1"/>
  <c r="I143" i="1" s="1"/>
  <c r="F24" i="2" s="1"/>
  <c r="AW144" i="1"/>
  <c r="H146" i="1"/>
  <c r="I150" i="1"/>
  <c r="I149" i="1" s="1"/>
  <c r="F25" i="2" s="1"/>
  <c r="AW150" i="1"/>
  <c r="H151" i="1"/>
  <c r="BI154" i="1"/>
  <c r="AG154" i="1" s="1"/>
  <c r="BH155" i="1"/>
  <c r="AF155" i="1" s="1"/>
  <c r="BC164" i="1"/>
  <c r="AX165" i="1"/>
  <c r="AX175" i="1"/>
  <c r="I176" i="1"/>
  <c r="AW176" i="1"/>
  <c r="H177" i="1"/>
  <c r="BI179" i="1"/>
  <c r="BH183" i="1"/>
  <c r="AX196" i="1"/>
  <c r="AW199" i="1"/>
  <c r="H199" i="1"/>
  <c r="AW219" i="1"/>
  <c r="H219" i="1"/>
  <c r="AW235" i="1"/>
  <c r="H235" i="1"/>
  <c r="H234" i="1" s="1"/>
  <c r="E30" i="2" s="1"/>
  <c r="BC305" i="1"/>
  <c r="AV305" i="1"/>
  <c r="BC387" i="1"/>
  <c r="AV387" i="1"/>
  <c r="BI86" i="1"/>
  <c r="AC86" i="1" s="1"/>
  <c r="BH88" i="1"/>
  <c r="AB88" i="1" s="1"/>
  <c r="BI107" i="1"/>
  <c r="AC107" i="1" s="1"/>
  <c r="BH109" i="1"/>
  <c r="AB109" i="1" s="1"/>
  <c r="AL110" i="1"/>
  <c r="AU99" i="1" s="1"/>
  <c r="BH123" i="1"/>
  <c r="AD123" i="1" s="1"/>
  <c r="BH129" i="1"/>
  <c r="AD129" i="1" s="1"/>
  <c r="BI155" i="1"/>
  <c r="AG155" i="1" s="1"/>
  <c r="BH156" i="1"/>
  <c r="AF156" i="1" s="1"/>
  <c r="BH159" i="1"/>
  <c r="AF159" i="1" s="1"/>
  <c r="BI183" i="1"/>
  <c r="BH188" i="1"/>
  <c r="AW190" i="1"/>
  <c r="H190" i="1"/>
  <c r="AV192" i="1"/>
  <c r="BC192" i="1"/>
  <c r="BH201" i="1"/>
  <c r="AB201" i="1" s="1"/>
  <c r="AX207" i="1"/>
  <c r="BC207" i="1" s="1"/>
  <c r="I207" i="1"/>
  <c r="BC294" i="1"/>
  <c r="AV294" i="1"/>
  <c r="BC310" i="1"/>
  <c r="AV310" i="1"/>
  <c r="BC292" i="1"/>
  <c r="AV292" i="1"/>
  <c r="AU296" i="1"/>
  <c r="BC301" i="1"/>
  <c r="AV301" i="1"/>
  <c r="BC363" i="1"/>
  <c r="AV405" i="1"/>
  <c r="AS195" i="1"/>
  <c r="BC240" i="1"/>
  <c r="AV240" i="1"/>
  <c r="BC248" i="1"/>
  <c r="AV248" i="1"/>
  <c r="BC297" i="1"/>
  <c r="AV297" i="1"/>
  <c r="AL196" i="1"/>
  <c r="AU195" i="1" s="1"/>
  <c r="J195" i="1"/>
  <c r="BI196" i="1"/>
  <c r="AC196" i="1" s="1"/>
  <c r="AT195" i="1"/>
  <c r="BC252" i="1"/>
  <c r="AV252" i="1"/>
  <c r="AU254" i="1"/>
  <c r="BC266" i="1"/>
  <c r="AV266" i="1"/>
  <c r="BC269" i="1"/>
  <c r="AV269" i="1"/>
  <c r="AU340" i="1"/>
  <c r="AW196" i="1"/>
  <c r="BI201" i="1"/>
  <c r="AC201" i="1" s="1"/>
  <c r="BH204" i="1"/>
  <c r="AB204" i="1" s="1"/>
  <c r="BC222" i="1"/>
  <c r="J234" i="1"/>
  <c r="G30" i="2" s="1"/>
  <c r="I30" i="2" s="1"/>
  <c r="BH245" i="1"/>
  <c r="AB245" i="1" s="1"/>
  <c r="BH252" i="1"/>
  <c r="AB252" i="1" s="1"/>
  <c r="BI255" i="1"/>
  <c r="AC255" i="1" s="1"/>
  <c r="BH262" i="1"/>
  <c r="AB262" i="1" s="1"/>
  <c r="BC274" i="1"/>
  <c r="AX276" i="1"/>
  <c r="AV276" i="1" s="1"/>
  <c r="I280" i="1"/>
  <c r="H284" i="1"/>
  <c r="BI288" i="1"/>
  <c r="AC288" i="1" s="1"/>
  <c r="BH292" i="1"/>
  <c r="AB292" i="1" s="1"/>
  <c r="BH297" i="1"/>
  <c r="AB297" i="1" s="1"/>
  <c r="BC313" i="1"/>
  <c r="AX316" i="1"/>
  <c r="AV316" i="1" s="1"/>
  <c r="AX321" i="1"/>
  <c r="BC321" i="1" s="1"/>
  <c r="I324" i="1"/>
  <c r="AW324" i="1"/>
  <c r="H336" i="1"/>
  <c r="I341" i="1"/>
  <c r="AW341" i="1"/>
  <c r="H350" i="1"/>
  <c r="H340" i="1" s="1"/>
  <c r="E38" i="2" s="1"/>
  <c r="BC391" i="1"/>
  <c r="BH400" i="1"/>
  <c r="AB400" i="1" s="1"/>
  <c r="AL403" i="1"/>
  <c r="AU402" i="1" s="1"/>
  <c r="J402" i="1"/>
  <c r="G40" i="2" s="1"/>
  <c r="I40" i="2" s="1"/>
  <c r="BI403" i="1"/>
  <c r="AW411" i="1"/>
  <c r="AV423" i="1"/>
  <c r="BC423" i="1"/>
  <c r="BC434" i="1"/>
  <c r="BC446" i="1"/>
  <c r="AV446" i="1"/>
  <c r="BC486" i="1"/>
  <c r="AV493" i="1"/>
  <c r="BI204" i="1"/>
  <c r="AC204" i="1" s="1"/>
  <c r="BH207" i="1"/>
  <c r="AB207" i="1" s="1"/>
  <c r="BH240" i="1"/>
  <c r="AB240" i="1" s="1"/>
  <c r="BI245" i="1"/>
  <c r="AC245" i="1" s="1"/>
  <c r="BH248" i="1"/>
  <c r="AB248" i="1" s="1"/>
  <c r="BI252" i="1"/>
  <c r="AC252" i="1" s="1"/>
  <c r="H255" i="1"/>
  <c r="BI262" i="1"/>
  <c r="AC262" i="1" s="1"/>
  <c r="BH266" i="1"/>
  <c r="AB266" i="1" s="1"/>
  <c r="AX280" i="1"/>
  <c r="I284" i="1"/>
  <c r="AW284" i="1"/>
  <c r="H288" i="1"/>
  <c r="AV288" i="1"/>
  <c r="BI292" i="1"/>
  <c r="AC292" i="1" s="1"/>
  <c r="BH294" i="1"/>
  <c r="AB294" i="1" s="1"/>
  <c r="BI297" i="1"/>
  <c r="AC297" i="1" s="1"/>
  <c r="BH301" i="1"/>
  <c r="AB301" i="1" s="1"/>
  <c r="BH310" i="1"/>
  <c r="AB310" i="1" s="1"/>
  <c r="BC316" i="1"/>
  <c r="AX324" i="1"/>
  <c r="I336" i="1"/>
  <c r="AW336" i="1"/>
  <c r="AX341" i="1"/>
  <c r="I350" i="1"/>
  <c r="AW350" i="1"/>
  <c r="BI363" i="1"/>
  <c r="AC363" i="1" s="1"/>
  <c r="BH373" i="1"/>
  <c r="AB373" i="1" s="1"/>
  <c r="BI385" i="1"/>
  <c r="AC385" i="1" s="1"/>
  <c r="BH387" i="1"/>
  <c r="AB387" i="1" s="1"/>
  <c r="BH394" i="1"/>
  <c r="AB394" i="1" s="1"/>
  <c r="AW440" i="1"/>
  <c r="H440" i="1"/>
  <c r="AV471" i="1"/>
  <c r="I507" i="1"/>
  <c r="AX507" i="1"/>
  <c r="BC507" i="1" s="1"/>
  <c r="BI507" i="1"/>
  <c r="AE507" i="1" s="1"/>
  <c r="AW519" i="1"/>
  <c r="H519" i="1"/>
  <c r="BH519" i="1"/>
  <c r="AD519" i="1" s="1"/>
  <c r="AV714" i="1"/>
  <c r="BC714" i="1"/>
  <c r="BI240" i="1"/>
  <c r="AC240" i="1" s="1"/>
  <c r="BI248" i="1"/>
  <c r="AC248" i="1" s="1"/>
  <c r="BI266" i="1"/>
  <c r="AC266" i="1" s="1"/>
  <c r="BH269" i="1"/>
  <c r="AB269" i="1" s="1"/>
  <c r="BI294" i="1"/>
  <c r="AC294" i="1" s="1"/>
  <c r="BI301" i="1"/>
  <c r="AC301" i="1" s="1"/>
  <c r="BH305" i="1"/>
  <c r="AB305" i="1" s="1"/>
  <c r="BI310" i="1"/>
  <c r="AC310" i="1" s="1"/>
  <c r="BH312" i="1"/>
  <c r="AB312" i="1" s="1"/>
  <c r="BI373" i="1"/>
  <c r="AC373" i="1" s="1"/>
  <c r="BI387" i="1"/>
  <c r="AC387" i="1" s="1"/>
  <c r="BH389" i="1"/>
  <c r="AB389" i="1" s="1"/>
  <c r="I204" i="1"/>
  <c r="H207" i="1"/>
  <c r="H240" i="1"/>
  <c r="H239" i="1" s="1"/>
  <c r="E31" i="2" s="1"/>
  <c r="I245" i="1"/>
  <c r="H248" i="1"/>
  <c r="I252" i="1"/>
  <c r="I251" i="1" s="1"/>
  <c r="F33" i="2" s="1"/>
  <c r="I262" i="1"/>
  <c r="H266" i="1"/>
  <c r="I292" i="1"/>
  <c r="H294" i="1"/>
  <c r="I297" i="1"/>
  <c r="H301" i="1"/>
  <c r="BI305" i="1"/>
  <c r="AC305" i="1" s="1"/>
  <c r="H310" i="1"/>
  <c r="BI312" i="1"/>
  <c r="AC312" i="1" s="1"/>
  <c r="BH313" i="1"/>
  <c r="AB313" i="1" s="1"/>
  <c r="BH318" i="1"/>
  <c r="AB318" i="1" s="1"/>
  <c r="J340" i="1"/>
  <c r="G38" i="2" s="1"/>
  <c r="I38" i="2" s="1"/>
  <c r="I363" i="1"/>
  <c r="H373" i="1"/>
  <c r="I385" i="1"/>
  <c r="H387" i="1"/>
  <c r="BI389" i="1"/>
  <c r="AC389" i="1" s="1"/>
  <c r="BH391" i="1"/>
  <c r="AB391" i="1" s="1"/>
  <c r="BI394" i="1"/>
  <c r="AC394" i="1" s="1"/>
  <c r="AX394" i="1"/>
  <c r="BH411" i="1"/>
  <c r="AD411" i="1" s="1"/>
  <c r="BC415" i="1"/>
  <c r="BC443" i="1"/>
  <c r="AV443" i="1"/>
  <c r="AW448" i="1"/>
  <c r="H448" i="1"/>
  <c r="BC450" i="1"/>
  <c r="AV450" i="1"/>
  <c r="AU488" i="1"/>
  <c r="I497" i="1"/>
  <c r="F48" i="2" s="1"/>
  <c r="AS497" i="1"/>
  <c r="AW623" i="1"/>
  <c r="H623" i="1"/>
  <c r="H622" i="1" s="1"/>
  <c r="BH623" i="1"/>
  <c r="AB623" i="1" s="1"/>
  <c r="I240" i="1"/>
  <c r="I239" i="1" s="1"/>
  <c r="F31" i="2" s="1"/>
  <c r="I248" i="1"/>
  <c r="I266" i="1"/>
  <c r="H269" i="1"/>
  <c r="I294" i="1"/>
  <c r="I301" i="1"/>
  <c r="H305" i="1"/>
  <c r="I310" i="1"/>
  <c r="I309" i="1" s="1"/>
  <c r="F36" i="2" s="1"/>
  <c r="H312" i="1"/>
  <c r="I373" i="1"/>
  <c r="I387" i="1"/>
  <c r="H389" i="1"/>
  <c r="AX408" i="1"/>
  <c r="BI411" i="1"/>
  <c r="AE411" i="1" s="1"/>
  <c r="AT404" i="1"/>
  <c r="AL498" i="1"/>
  <c r="AU497" i="1" s="1"/>
  <c r="J497" i="1"/>
  <c r="G48" i="2" s="1"/>
  <c r="I48" i="2" s="1"/>
  <c r="AW394" i="1"/>
  <c r="AW400" i="1"/>
  <c r="AU404" i="1"/>
  <c r="BH440" i="1"/>
  <c r="AD440" i="1" s="1"/>
  <c r="AU444" i="1"/>
  <c r="AV453" i="1"/>
  <c r="BC453" i="1"/>
  <c r="BC455" i="1"/>
  <c r="AV455" i="1"/>
  <c r="AV459" i="1"/>
  <c r="AS470" i="1"/>
  <c r="AX478" i="1"/>
  <c r="I478" i="1"/>
  <c r="AV484" i="1"/>
  <c r="BC484" i="1"/>
  <c r="AU577" i="1"/>
  <c r="AW445" i="1"/>
  <c r="H445" i="1"/>
  <c r="AL471" i="1"/>
  <c r="AU470" i="1" s="1"/>
  <c r="J470" i="1"/>
  <c r="G46" i="2" s="1"/>
  <c r="I46" i="2" s="1"/>
  <c r="AW480" i="1"/>
  <c r="H480" i="1"/>
  <c r="H470" i="1" s="1"/>
  <c r="E46" i="2" s="1"/>
  <c r="BC482" i="1"/>
  <c r="AV482" i="1"/>
  <c r="I501" i="1"/>
  <c r="AX501" i="1"/>
  <c r="BC501" i="1" s="1"/>
  <c r="BI501" i="1"/>
  <c r="AL408" i="1"/>
  <c r="J404" i="1"/>
  <c r="G41" i="2" s="1"/>
  <c r="I41" i="2" s="1"/>
  <c r="BI408" i="1"/>
  <c r="AE408" i="1" s="1"/>
  <c r="AX418" i="1"/>
  <c r="BC418" i="1" s="1"/>
  <c r="I418" i="1"/>
  <c r="AW419" i="1"/>
  <c r="H419" i="1"/>
  <c r="H404" i="1" s="1"/>
  <c r="E41" i="2" s="1"/>
  <c r="BC421" i="1"/>
  <c r="H435" i="1"/>
  <c r="E42" i="2" s="1"/>
  <c r="AL467" i="1"/>
  <c r="AU454" i="1" s="1"/>
  <c r="J454" i="1"/>
  <c r="G45" i="2" s="1"/>
  <c r="I45" i="2" s="1"/>
  <c r="BC489" i="1"/>
  <c r="BI428" i="1"/>
  <c r="AE428" i="1" s="1"/>
  <c r="BH431" i="1"/>
  <c r="AD431" i="1" s="1"/>
  <c r="BH436" i="1"/>
  <c r="AD436" i="1" s="1"/>
  <c r="BI476" i="1"/>
  <c r="AE476" i="1" s="1"/>
  <c r="BH478" i="1"/>
  <c r="AD478" i="1" s="1"/>
  <c r="BC592" i="1"/>
  <c r="AV592" i="1"/>
  <c r="AL623" i="1"/>
  <c r="AU622" i="1" s="1"/>
  <c r="J622" i="1"/>
  <c r="AW397" i="1"/>
  <c r="AW403" i="1"/>
  <c r="AX405" i="1"/>
  <c r="BC405" i="1" s="1"/>
  <c r="AW408" i="1"/>
  <c r="BI415" i="1"/>
  <c r="AE415" i="1" s="1"/>
  <c r="BH418" i="1"/>
  <c r="AD418" i="1" s="1"/>
  <c r="AX425" i="1"/>
  <c r="AW428" i="1"/>
  <c r="BI434" i="1"/>
  <c r="AV436" i="1"/>
  <c r="BI440" i="1"/>
  <c r="AE440" i="1" s="1"/>
  <c r="BH443" i="1"/>
  <c r="BI445" i="1"/>
  <c r="AE445" i="1" s="1"/>
  <c r="BH446" i="1"/>
  <c r="BI448" i="1"/>
  <c r="AE448" i="1" s="1"/>
  <c r="BH450" i="1"/>
  <c r="AD450" i="1" s="1"/>
  <c r="BH455" i="1"/>
  <c r="AD455" i="1" s="1"/>
  <c r="BC467" i="1"/>
  <c r="BC471" i="1"/>
  <c r="BI480" i="1"/>
  <c r="AE480" i="1" s="1"/>
  <c r="BH482" i="1"/>
  <c r="AD482" i="1" s="1"/>
  <c r="AV501" i="1"/>
  <c r="AW514" i="1"/>
  <c r="BC553" i="1"/>
  <c r="I556" i="1"/>
  <c r="AX556" i="1"/>
  <c r="AV556" i="1" s="1"/>
  <c r="H559" i="1"/>
  <c r="AW559" i="1"/>
  <c r="J577" i="1"/>
  <c r="G51" i="2" s="1"/>
  <c r="I51" i="2" s="1"/>
  <c r="AL591" i="1"/>
  <c r="J603" i="1"/>
  <c r="G53" i="2" s="1"/>
  <c r="I53" i="2" s="1"/>
  <c r="H607" i="1"/>
  <c r="AW607" i="1"/>
  <c r="AW615" i="1"/>
  <c r="H615" i="1"/>
  <c r="AL630" i="1"/>
  <c r="AU627" i="1" s="1"/>
  <c r="J627" i="1"/>
  <c r="G56" i="2" s="1"/>
  <c r="I56" i="2" s="1"/>
  <c r="AV652" i="1"/>
  <c r="BI443" i="1"/>
  <c r="BI446" i="1"/>
  <c r="BI450" i="1"/>
  <c r="AE450" i="1" s="1"/>
  <c r="BH453" i="1"/>
  <c r="BI455" i="1"/>
  <c r="AE455" i="1" s="1"/>
  <c r="BH459" i="1"/>
  <c r="AD459" i="1" s="1"/>
  <c r="BI482" i="1"/>
  <c r="AE482" i="1" s="1"/>
  <c r="BH484" i="1"/>
  <c r="AD484" i="1" s="1"/>
  <c r="H511" i="1"/>
  <c r="AW511" i="1"/>
  <c r="AX519" i="1"/>
  <c r="I551" i="1"/>
  <c r="AX551" i="1"/>
  <c r="AV551" i="1" s="1"/>
  <c r="BC565" i="1"/>
  <c r="AX569" i="1"/>
  <c r="BC569" i="1" s="1"/>
  <c r="I569" i="1"/>
  <c r="AX578" i="1"/>
  <c r="BC578" i="1" s="1"/>
  <c r="I578" i="1"/>
  <c r="I606" i="1"/>
  <c r="AX606" i="1"/>
  <c r="BC606" i="1" s="1"/>
  <c r="AX611" i="1"/>
  <c r="AV611" i="1" s="1"/>
  <c r="I611" i="1"/>
  <c r="BI625" i="1"/>
  <c r="AC625" i="1" s="1"/>
  <c r="AX625" i="1"/>
  <c r="I625" i="1"/>
  <c r="I434" i="1"/>
  <c r="I440" i="1"/>
  <c r="H443" i="1"/>
  <c r="I445" i="1"/>
  <c r="H446" i="1"/>
  <c r="I448" i="1"/>
  <c r="H450" i="1"/>
  <c r="BI453" i="1"/>
  <c r="H455" i="1"/>
  <c r="H454" i="1" s="1"/>
  <c r="E45" i="2" s="1"/>
  <c r="BI459" i="1"/>
  <c r="AE459" i="1" s="1"/>
  <c r="BH464" i="1"/>
  <c r="AD464" i="1" s="1"/>
  <c r="I480" i="1"/>
  <c r="H482" i="1"/>
  <c r="BI484" i="1"/>
  <c r="AE484" i="1" s="1"/>
  <c r="BH486" i="1"/>
  <c r="AD486" i="1" s="1"/>
  <c r="BH489" i="1"/>
  <c r="AD489" i="1" s="1"/>
  <c r="AT502" i="1"/>
  <c r="BC524" i="1"/>
  <c r="I526" i="1"/>
  <c r="AX526" i="1"/>
  <c r="AV526" i="1" s="1"/>
  <c r="H529" i="1"/>
  <c r="AW529" i="1"/>
  <c r="AV569" i="1"/>
  <c r="AV578" i="1"/>
  <c r="AW591" i="1"/>
  <c r="H591" i="1"/>
  <c r="H577" i="1" s="1"/>
  <c r="E51" i="2" s="1"/>
  <c r="BC596" i="1"/>
  <c r="AU603" i="1"/>
  <c r="BC605" i="1"/>
  <c r="BC610" i="1"/>
  <c r="BC642" i="1"/>
  <c r="AV642" i="1"/>
  <c r="I443" i="1"/>
  <c r="I446" i="1"/>
  <c r="I450" i="1"/>
  <c r="H453" i="1"/>
  <c r="I455" i="1"/>
  <c r="H459" i="1"/>
  <c r="I482" i="1"/>
  <c r="H484" i="1"/>
  <c r="AX500" i="1"/>
  <c r="BC500" i="1" s="1"/>
  <c r="BI500" i="1"/>
  <c r="AE500" i="1" s="1"/>
  <c r="AU502" i="1"/>
  <c r="AX511" i="1"/>
  <c r="BC535" i="1"/>
  <c r="AX538" i="1"/>
  <c r="BC538" i="1" s="1"/>
  <c r="I538" i="1"/>
  <c r="BI541" i="1"/>
  <c r="AE541" i="1" s="1"/>
  <c r="AW543" i="1"/>
  <c r="AT552" i="1"/>
  <c r="AW573" i="1"/>
  <c r="H573" i="1"/>
  <c r="I484" i="1"/>
  <c r="H486" i="1"/>
  <c r="H489" i="1"/>
  <c r="H488" i="1" s="1"/>
  <c r="E47" i="2" s="1"/>
  <c r="BH514" i="1"/>
  <c r="AD514" i="1" s="1"/>
  <c r="AU552" i="1"/>
  <c r="BI556" i="1"/>
  <c r="AE556" i="1" s="1"/>
  <c r="AS627" i="1"/>
  <c r="AX656" i="1"/>
  <c r="BC656" i="1" s="1"/>
  <c r="I656" i="1"/>
  <c r="BI656" i="1"/>
  <c r="AG656" i="1" s="1"/>
  <c r="BC515" i="1"/>
  <c r="AX516" i="1"/>
  <c r="I516" i="1"/>
  <c r="BI519" i="1"/>
  <c r="AE519" i="1" s="1"/>
  <c r="AV521" i="1"/>
  <c r="AW541" i="1"/>
  <c r="H541" i="1"/>
  <c r="BI551" i="1"/>
  <c r="BC561" i="1"/>
  <c r="AV561" i="1"/>
  <c r="BC599" i="1"/>
  <c r="AV599" i="1"/>
  <c r="BI606" i="1"/>
  <c r="AC606" i="1" s="1"/>
  <c r="BH607" i="1"/>
  <c r="AB607" i="1" s="1"/>
  <c r="BC608" i="1"/>
  <c r="AV608" i="1"/>
  <c r="BI611" i="1"/>
  <c r="AC611" i="1" s="1"/>
  <c r="BH615" i="1"/>
  <c r="AB615" i="1" s="1"/>
  <c r="BC619" i="1"/>
  <c r="AV619" i="1"/>
  <c r="BI515" i="1"/>
  <c r="AE515" i="1" s="1"/>
  <c r="BH516" i="1"/>
  <c r="AD516" i="1" s="1"/>
  <c r="I529" i="1"/>
  <c r="H532" i="1"/>
  <c r="BI535" i="1"/>
  <c r="AE535" i="1" s="1"/>
  <c r="BH538" i="1"/>
  <c r="AD538" i="1" s="1"/>
  <c r="I559" i="1"/>
  <c r="H561" i="1"/>
  <c r="BI565" i="1"/>
  <c r="AE565" i="1" s="1"/>
  <c r="BH569" i="1"/>
  <c r="AD569" i="1" s="1"/>
  <c r="BH578" i="1"/>
  <c r="AD578" i="1" s="1"/>
  <c r="I607" i="1"/>
  <c r="H608" i="1"/>
  <c r="BI610" i="1"/>
  <c r="AC610" i="1" s="1"/>
  <c r="BH611" i="1"/>
  <c r="AB611" i="1" s="1"/>
  <c r="AT627" i="1"/>
  <c r="AW632" i="1"/>
  <c r="BC641" i="1"/>
  <c r="AV641" i="1"/>
  <c r="AV645" i="1"/>
  <c r="BC682" i="1"/>
  <c r="AV682" i="1"/>
  <c r="BI591" i="1"/>
  <c r="AE591" i="1" s="1"/>
  <c r="BH592" i="1"/>
  <c r="AD592" i="1" s="1"/>
  <c r="BH599" i="1"/>
  <c r="AB599" i="1" s="1"/>
  <c r="BH604" i="1"/>
  <c r="AB604" i="1" s="1"/>
  <c r="BI615" i="1"/>
  <c r="AC615" i="1" s="1"/>
  <c r="BC625" i="1"/>
  <c r="AV625" i="1"/>
  <c r="AL635" i="1"/>
  <c r="AU634" i="1" s="1"/>
  <c r="J634" i="1"/>
  <c r="G57" i="2" s="1"/>
  <c r="I57" i="2" s="1"/>
  <c r="I643" i="1"/>
  <c r="AX643" i="1"/>
  <c r="AV643" i="1" s="1"/>
  <c r="I652" i="1"/>
  <c r="AX652" i="1"/>
  <c r="BC652" i="1" s="1"/>
  <c r="H653" i="1"/>
  <c r="AW653" i="1"/>
  <c r="BC669" i="1"/>
  <c r="AV670" i="1"/>
  <c r="BC670" i="1"/>
  <c r="AW640" i="1"/>
  <c r="H640" i="1"/>
  <c r="AS644" i="1"/>
  <c r="BC655" i="1"/>
  <c r="AV659" i="1"/>
  <c r="AU662" i="1"/>
  <c r="AW710" i="1"/>
  <c r="H710" i="1"/>
  <c r="BH710" i="1"/>
  <c r="BH501" i="1"/>
  <c r="BI503" i="1"/>
  <c r="AE503" i="1" s="1"/>
  <c r="BH507" i="1"/>
  <c r="AD507" i="1" s="1"/>
  <c r="BI524" i="1"/>
  <c r="AE524" i="1" s="1"/>
  <c r="BH526" i="1"/>
  <c r="AD526" i="1" s="1"/>
  <c r="BI546" i="1"/>
  <c r="AE546" i="1" s="1"/>
  <c r="BH551" i="1"/>
  <c r="BI553" i="1"/>
  <c r="AE553" i="1" s="1"/>
  <c r="BH556" i="1"/>
  <c r="AD556" i="1" s="1"/>
  <c r="BI596" i="1"/>
  <c r="AE596" i="1" s="1"/>
  <c r="BI601" i="1"/>
  <c r="AC601" i="1" s="1"/>
  <c r="BI605" i="1"/>
  <c r="AC605" i="1" s="1"/>
  <c r="BH606" i="1"/>
  <c r="AB606" i="1" s="1"/>
  <c r="AX623" i="1"/>
  <c r="AV630" i="1"/>
  <c r="BH632" i="1"/>
  <c r="AB632" i="1" s="1"/>
  <c r="AX639" i="1"/>
  <c r="AV639" i="1" s="1"/>
  <c r="I639" i="1"/>
  <c r="AX659" i="1"/>
  <c r="BC659" i="1" s="1"/>
  <c r="I659" i="1"/>
  <c r="AS677" i="1"/>
  <c r="AX635" i="1"/>
  <c r="BC635" i="1" s="1"/>
  <c r="H636" i="1"/>
  <c r="H634" i="1" s="1"/>
  <c r="E57" i="2" s="1"/>
  <c r="AW636" i="1"/>
  <c r="AL650" i="1"/>
  <c r="AU649" i="1" s="1"/>
  <c r="J649" i="1"/>
  <c r="G59" i="2" s="1"/>
  <c r="I59" i="2" s="1"/>
  <c r="AT662" i="1"/>
  <c r="AW676" i="1"/>
  <c r="H676" i="1"/>
  <c r="J677" i="1"/>
  <c r="G64" i="2" s="1"/>
  <c r="I64" i="2" s="1"/>
  <c r="AL681" i="1"/>
  <c r="AU677" i="1" s="1"/>
  <c r="BI643" i="1"/>
  <c r="AC643" i="1" s="1"/>
  <c r="H650" i="1"/>
  <c r="H649" i="1" s="1"/>
  <c r="E59" i="2" s="1"/>
  <c r="AW650" i="1"/>
  <c r="BI652" i="1"/>
  <c r="AG652" i="1" s="1"/>
  <c r="BC658" i="1"/>
  <c r="AW667" i="1"/>
  <c r="H667" i="1"/>
  <c r="BC678" i="1"/>
  <c r="AX679" i="1"/>
  <c r="BC679" i="1" s="1"/>
  <c r="I679" i="1"/>
  <c r="BI679" i="1"/>
  <c r="AG679" i="1" s="1"/>
  <c r="BC630" i="1"/>
  <c r="I646" i="1"/>
  <c r="I644" i="1" s="1"/>
  <c r="F58" i="2" s="1"/>
  <c r="AX646" i="1"/>
  <c r="BC646" i="1" s="1"/>
  <c r="H647" i="1"/>
  <c r="H644" i="1" s="1"/>
  <c r="E58" i="2" s="1"/>
  <c r="AW647" i="1"/>
  <c r="BH653" i="1"/>
  <c r="AF653" i="1" s="1"/>
  <c r="AX666" i="1"/>
  <c r="BC666" i="1" s="1"/>
  <c r="I666" i="1"/>
  <c r="AX675" i="1"/>
  <c r="BC675" i="1" s="1"/>
  <c r="I675" i="1"/>
  <c r="BI678" i="1"/>
  <c r="AG678" i="1" s="1"/>
  <c r="AX678" i="1"/>
  <c r="AV678" i="1" s="1"/>
  <c r="I678" i="1"/>
  <c r="BI638" i="1"/>
  <c r="AC638" i="1" s="1"/>
  <c r="BH639" i="1"/>
  <c r="AF639" i="1" s="1"/>
  <c r="BI655" i="1"/>
  <c r="AG655" i="1" s="1"/>
  <c r="BH656" i="1"/>
  <c r="AF656" i="1" s="1"/>
  <c r="BI658" i="1"/>
  <c r="AG658" i="1" s="1"/>
  <c r="BH659" i="1"/>
  <c r="AF659" i="1" s="1"/>
  <c r="BI661" i="1"/>
  <c r="AG661" i="1" s="1"/>
  <c r="BI665" i="1"/>
  <c r="AC665" i="1" s="1"/>
  <c r="BH666" i="1"/>
  <c r="AB666" i="1" s="1"/>
  <c r="AX671" i="1"/>
  <c r="BC671" i="1" s="1"/>
  <c r="AW672" i="1"/>
  <c r="BI674" i="1"/>
  <c r="AG674" i="1" s="1"/>
  <c r="BH675" i="1"/>
  <c r="AF675" i="1" s="1"/>
  <c r="BH678" i="1"/>
  <c r="AF678" i="1" s="1"/>
  <c r="I681" i="1"/>
  <c r="BH628" i="1"/>
  <c r="AB628" i="1" s="1"/>
  <c r="I638" i="1"/>
  <c r="H639" i="1"/>
  <c r="BI640" i="1"/>
  <c r="AG640" i="1" s="1"/>
  <c r="BH641" i="1"/>
  <c r="AF641" i="1" s="1"/>
  <c r="J651" i="1"/>
  <c r="G60" i="2" s="1"/>
  <c r="I60" i="2" s="1"/>
  <c r="I655" i="1"/>
  <c r="H656" i="1"/>
  <c r="I658" i="1"/>
  <c r="H659" i="1"/>
  <c r="I661" i="1"/>
  <c r="I660" i="1" s="1"/>
  <c r="F62" i="2" s="1"/>
  <c r="I665" i="1"/>
  <c r="H666" i="1"/>
  <c r="BI667" i="1"/>
  <c r="AG667" i="1" s="1"/>
  <c r="BH669" i="1"/>
  <c r="AF669" i="1" s="1"/>
  <c r="I674" i="1"/>
  <c r="H675" i="1"/>
  <c r="BI676" i="1"/>
  <c r="AG676" i="1" s="1"/>
  <c r="H678" i="1"/>
  <c r="H680" i="1"/>
  <c r="AX684" i="1"/>
  <c r="AX687" i="1"/>
  <c r="I687" i="1"/>
  <c r="AW688" i="1"/>
  <c r="H688" i="1"/>
  <c r="BH688" i="1"/>
  <c r="AF688" i="1" s="1"/>
  <c r="AV690" i="1"/>
  <c r="BC690" i="1"/>
  <c r="BI641" i="1"/>
  <c r="AG641" i="1" s="1"/>
  <c r="BH642" i="1"/>
  <c r="AF642" i="1" s="1"/>
  <c r="BH645" i="1"/>
  <c r="AF645" i="1" s="1"/>
  <c r="BI669" i="1"/>
  <c r="AG669" i="1" s="1"/>
  <c r="BH670" i="1"/>
  <c r="AF670" i="1" s="1"/>
  <c r="BH685" i="1"/>
  <c r="AF685" i="1" s="1"/>
  <c r="AX688" i="1"/>
  <c r="I688" i="1"/>
  <c r="AW689" i="1"/>
  <c r="H689" i="1"/>
  <c r="AV698" i="1"/>
  <c r="BC698" i="1"/>
  <c r="AL700" i="1"/>
  <c r="AU699" i="1" s="1"/>
  <c r="J699" i="1"/>
  <c r="G65" i="2" s="1"/>
  <c r="I65" i="2" s="1"/>
  <c r="BI629" i="1"/>
  <c r="AC629" i="1" s="1"/>
  <c r="BH630" i="1"/>
  <c r="AB630" i="1" s="1"/>
  <c r="BH635" i="1"/>
  <c r="AF635" i="1" s="1"/>
  <c r="BI642" i="1"/>
  <c r="AG642" i="1" s="1"/>
  <c r="BH643" i="1"/>
  <c r="AB643" i="1" s="1"/>
  <c r="BI645" i="1"/>
  <c r="AG645" i="1" s="1"/>
  <c r="BH646" i="1"/>
  <c r="AF646" i="1" s="1"/>
  <c r="BH652" i="1"/>
  <c r="AF652" i="1" s="1"/>
  <c r="AV669" i="1"/>
  <c r="BI670" i="1"/>
  <c r="AG670" i="1" s="1"/>
  <c r="BH671" i="1"/>
  <c r="AF671" i="1" s="1"/>
  <c r="BI681" i="1"/>
  <c r="AG681" i="1" s="1"/>
  <c r="AW700" i="1"/>
  <c r="H700" i="1"/>
  <c r="AX706" i="1"/>
  <c r="I706" i="1"/>
  <c r="I705" i="1" s="1"/>
  <c r="F66" i="2" s="1"/>
  <c r="BI671" i="1"/>
  <c r="AG671" i="1" s="1"/>
  <c r="BH672" i="1"/>
  <c r="AF672" i="1" s="1"/>
  <c r="AX696" i="1"/>
  <c r="BC696" i="1" s="1"/>
  <c r="I696" i="1"/>
  <c r="AW697" i="1"/>
  <c r="H697" i="1"/>
  <c r="AW704" i="1"/>
  <c r="H704" i="1"/>
  <c r="AV722" i="1"/>
  <c r="BC722" i="1"/>
  <c r="AW693" i="1"/>
  <c r="H693" i="1"/>
  <c r="AX703" i="1"/>
  <c r="I703" i="1"/>
  <c r="I699" i="1" s="1"/>
  <c r="F65" i="2" s="1"/>
  <c r="AL710" i="1"/>
  <c r="AU709" i="1" s="1"/>
  <c r="J709" i="1"/>
  <c r="BC719" i="1"/>
  <c r="F29" i="4"/>
  <c r="BI684" i="1"/>
  <c r="AG684" i="1" s="1"/>
  <c r="AW685" i="1"/>
  <c r="BI687" i="1"/>
  <c r="AG687" i="1" s="1"/>
  <c r="BI688" i="1"/>
  <c r="AG688" i="1" s="1"/>
  <c r="AX692" i="1"/>
  <c r="I692" i="1"/>
  <c r="BC702" i="1"/>
  <c r="AV713" i="1"/>
  <c r="I45" i="4"/>
  <c r="I24" i="3" s="1"/>
  <c r="BI693" i="1"/>
  <c r="AG693" i="1" s="1"/>
  <c r="BH694" i="1"/>
  <c r="AF694" i="1" s="1"/>
  <c r="BI704" i="1"/>
  <c r="AG704" i="1" s="1"/>
  <c r="BI712" i="1"/>
  <c r="BI716" i="1"/>
  <c r="BI720" i="1"/>
  <c r="AX691" i="1"/>
  <c r="AV691" i="1" s="1"/>
  <c r="AW692" i="1"/>
  <c r="AX702" i="1"/>
  <c r="AV702" i="1" s="1"/>
  <c r="AW703" i="1"/>
  <c r="AW706" i="1"/>
  <c r="AX711" i="1"/>
  <c r="H712" i="1"/>
  <c r="AX715" i="1"/>
  <c r="H716" i="1"/>
  <c r="AX719" i="1"/>
  <c r="H720" i="1"/>
  <c r="I27" i="4"/>
  <c r="BI695" i="1"/>
  <c r="AG695" i="1" s="1"/>
  <c r="BH696" i="1"/>
  <c r="AF696" i="1" s="1"/>
  <c r="AW712" i="1"/>
  <c r="BI713" i="1"/>
  <c r="AW716" i="1"/>
  <c r="BI717" i="1"/>
  <c r="AW720" i="1"/>
  <c r="BI721" i="1"/>
  <c r="BH714" i="1"/>
  <c r="BH718" i="1"/>
  <c r="BH722" i="1"/>
  <c r="I695" i="1"/>
  <c r="H696" i="1"/>
  <c r="J705" i="1"/>
  <c r="G66" i="2" s="1"/>
  <c r="I66" i="2" s="1"/>
  <c r="I713" i="1"/>
  <c r="I717" i="1"/>
  <c r="I721" i="1"/>
  <c r="H714" i="1"/>
  <c r="H718" i="1"/>
  <c r="H722" i="1"/>
  <c r="AV14" i="1" l="1"/>
  <c r="BC14" i="1"/>
  <c r="BC629" i="1"/>
  <c r="AV629" i="1"/>
  <c r="BC626" i="1"/>
  <c r="AV626" i="1"/>
  <c r="AV109" i="1"/>
  <c r="BC109" i="1"/>
  <c r="I634" i="1"/>
  <c r="F57" i="2" s="1"/>
  <c r="AV245" i="1"/>
  <c r="AV695" i="1"/>
  <c r="C19" i="3"/>
  <c r="H99" i="1"/>
  <c r="E19" i="2" s="1"/>
  <c r="I435" i="1"/>
  <c r="F42" i="2" s="1"/>
  <c r="H447" i="1"/>
  <c r="E44" i="2" s="1"/>
  <c r="AV142" i="1"/>
  <c r="AV47" i="1"/>
  <c r="AV628" i="1"/>
  <c r="AV353" i="1"/>
  <c r="AV159" i="1"/>
  <c r="BC159" i="1"/>
  <c r="H552" i="1"/>
  <c r="E50" i="2" s="1"/>
  <c r="AV604" i="1"/>
  <c r="BC643" i="1"/>
  <c r="BC487" i="1"/>
  <c r="AV532" i="1"/>
  <c r="BC503" i="1"/>
  <c r="BC318" i="1"/>
  <c r="C17" i="3"/>
  <c r="BC154" i="1"/>
  <c r="BC431" i="1"/>
  <c r="H384" i="1"/>
  <c r="E39" i="2" s="1"/>
  <c r="AV110" i="1"/>
  <c r="C18" i="3"/>
  <c r="AV123" i="1"/>
  <c r="BC123" i="1"/>
  <c r="I502" i="1"/>
  <c r="F49" i="2" s="1"/>
  <c r="AV113" i="1"/>
  <c r="BC476" i="1"/>
  <c r="AV476" i="1"/>
  <c r="BC683" i="1"/>
  <c r="AV683" i="1"/>
  <c r="AV701" i="1"/>
  <c r="BC673" i="1"/>
  <c r="I662" i="1"/>
  <c r="F63" i="2" s="1"/>
  <c r="AV648" i="1"/>
  <c r="AV656" i="1"/>
  <c r="I552" i="1"/>
  <c r="F50" i="2" s="1"/>
  <c r="H603" i="1"/>
  <c r="E53" i="2" s="1"/>
  <c r="C16" i="3"/>
  <c r="I470" i="1"/>
  <c r="F46" i="2" s="1"/>
  <c r="AV499" i="1"/>
  <c r="BC276" i="1"/>
  <c r="AV312" i="1"/>
  <c r="BC110" i="1"/>
  <c r="AV79" i="1"/>
  <c r="BC79" i="1"/>
  <c r="I122" i="1"/>
  <c r="F22" i="2" s="1"/>
  <c r="AV107" i="1"/>
  <c r="AV498" i="1"/>
  <c r="C14" i="3"/>
  <c r="I577" i="1"/>
  <c r="F51" i="2" s="1"/>
  <c r="AV474" i="1"/>
  <c r="AV88" i="1"/>
  <c r="BC88" i="1"/>
  <c r="BC637" i="1"/>
  <c r="BC718" i="1"/>
  <c r="H662" i="1"/>
  <c r="E63" i="2" s="1"/>
  <c r="I627" i="1"/>
  <c r="F56" i="2" s="1"/>
  <c r="AV679" i="1"/>
  <c r="AV162" i="1"/>
  <c r="AV711" i="1"/>
  <c r="I99" i="1"/>
  <c r="F19" i="2" s="1"/>
  <c r="AV546" i="1"/>
  <c r="AV654" i="1"/>
  <c r="BC526" i="1"/>
  <c r="I622" i="1"/>
  <c r="H502" i="1"/>
  <c r="E49" i="2" s="1"/>
  <c r="BC478" i="1"/>
  <c r="AV496" i="1"/>
  <c r="BC385" i="1"/>
  <c r="H149" i="1"/>
  <c r="E25" i="2" s="1"/>
  <c r="I70" i="1"/>
  <c r="F17" i="2" s="1"/>
  <c r="C29" i="3"/>
  <c r="F29" i="3" s="1"/>
  <c r="AV601" i="1"/>
  <c r="AV98" i="1"/>
  <c r="BC98" i="1"/>
  <c r="I603" i="1"/>
  <c r="F53" i="2" s="1"/>
  <c r="I254" i="1"/>
  <c r="F34" i="2" s="1"/>
  <c r="H166" i="1"/>
  <c r="E27" i="2" s="1"/>
  <c r="I454" i="1"/>
  <c r="F45" i="2" s="1"/>
  <c r="I384" i="1"/>
  <c r="F39" i="2" s="1"/>
  <c r="I166" i="1"/>
  <c r="F27" i="2" s="1"/>
  <c r="AV719" i="1"/>
  <c r="AV715" i="1"/>
  <c r="I598" i="1"/>
  <c r="F52" i="2" s="1"/>
  <c r="I195" i="1"/>
  <c r="F29" i="2" s="1"/>
  <c r="I317" i="1"/>
  <c r="F37" i="2" s="1"/>
  <c r="AV717" i="1"/>
  <c r="AV696" i="1"/>
  <c r="AV686" i="1"/>
  <c r="AV694" i="1"/>
  <c r="H657" i="1"/>
  <c r="E61" i="2" s="1"/>
  <c r="AV663" i="1"/>
  <c r="I651" i="1"/>
  <c r="F60" i="2" s="1"/>
  <c r="H296" i="1"/>
  <c r="E35" i="2" s="1"/>
  <c r="AV262" i="1"/>
  <c r="H143" i="1"/>
  <c r="E24" i="2" s="1"/>
  <c r="AV464" i="1"/>
  <c r="BC464" i="1"/>
  <c r="H54" i="1"/>
  <c r="E15" i="2" s="1"/>
  <c r="I709" i="1"/>
  <c r="I708" i="1" s="1"/>
  <c r="F68" i="2" s="1"/>
  <c r="AV507" i="1"/>
  <c r="H444" i="1"/>
  <c r="E43" i="2" s="1"/>
  <c r="H317" i="1"/>
  <c r="E37" i="2" s="1"/>
  <c r="I158" i="1"/>
  <c r="F26" i="2" s="1"/>
  <c r="I657" i="1"/>
  <c r="F61" i="2" s="1"/>
  <c r="BC639" i="1"/>
  <c r="AV255" i="1"/>
  <c r="H128" i="1"/>
  <c r="E23" i="2" s="1"/>
  <c r="I80" i="1"/>
  <c r="F18" i="2" s="1"/>
  <c r="AV156" i="1"/>
  <c r="BC156" i="1"/>
  <c r="F12" i="2"/>
  <c r="F69" i="2"/>
  <c r="F55" i="2"/>
  <c r="BC693" i="1"/>
  <c r="AV693" i="1"/>
  <c r="AV706" i="1"/>
  <c r="BC706" i="1"/>
  <c r="BC551" i="1"/>
  <c r="AV703" i="1"/>
  <c r="BC703" i="1"/>
  <c r="BC691" i="1"/>
  <c r="AV671" i="1"/>
  <c r="AV529" i="1"/>
  <c r="BC529" i="1"/>
  <c r="I447" i="1"/>
  <c r="F44" i="2" s="1"/>
  <c r="BC425" i="1"/>
  <c r="AV425" i="1"/>
  <c r="BC445" i="1"/>
  <c r="AV445" i="1"/>
  <c r="BC556" i="1"/>
  <c r="AV321" i="1"/>
  <c r="AV207" i="1"/>
  <c r="BC176" i="1"/>
  <c r="AV176" i="1"/>
  <c r="BC165" i="1"/>
  <c r="AV165" i="1"/>
  <c r="AV167" i="1"/>
  <c r="AV26" i="1"/>
  <c r="AV688" i="1"/>
  <c r="BC688" i="1"/>
  <c r="AV650" i="1"/>
  <c r="BC650" i="1"/>
  <c r="BC711" i="1"/>
  <c r="AV606" i="1"/>
  <c r="BC428" i="1"/>
  <c r="AV428" i="1"/>
  <c r="G55" i="2"/>
  <c r="I55" i="2" s="1"/>
  <c r="J621" i="1"/>
  <c r="G54" i="2" s="1"/>
  <c r="J708" i="1"/>
  <c r="G68" i="2" s="1"/>
  <c r="G69" i="2"/>
  <c r="I69" i="2" s="1"/>
  <c r="J707" i="1"/>
  <c r="G67" i="2" s="1"/>
  <c r="BC720" i="1"/>
  <c r="AV720" i="1"/>
  <c r="H699" i="1"/>
  <c r="E65" i="2" s="1"/>
  <c r="BC687" i="1"/>
  <c r="AV687" i="1"/>
  <c r="I677" i="1"/>
  <c r="F64" i="2" s="1"/>
  <c r="BC667" i="1"/>
  <c r="AV667" i="1"/>
  <c r="AV646" i="1"/>
  <c r="H709" i="1"/>
  <c r="BC480" i="1"/>
  <c r="AV480" i="1"/>
  <c r="AV418" i="1"/>
  <c r="AV538" i="1"/>
  <c r="AV341" i="1"/>
  <c r="BC341" i="1"/>
  <c r="BC196" i="1"/>
  <c r="AV196" i="1"/>
  <c r="G29" i="2"/>
  <c r="I29" i="2" s="1"/>
  <c r="J194" i="1"/>
  <c r="G28" i="2" s="1"/>
  <c r="BC150" i="1"/>
  <c r="AV150" i="1"/>
  <c r="BC136" i="1"/>
  <c r="AV136" i="1"/>
  <c r="AU80" i="1"/>
  <c r="H40" i="1"/>
  <c r="E13" i="2" s="1"/>
  <c r="BC100" i="1"/>
  <c r="AV100" i="1"/>
  <c r="AV75" i="1"/>
  <c r="BC75" i="1"/>
  <c r="H13" i="1"/>
  <c r="AV700" i="1"/>
  <c r="BC700" i="1"/>
  <c r="BC684" i="1"/>
  <c r="AV684" i="1"/>
  <c r="AV647" i="1"/>
  <c r="BC647" i="1"/>
  <c r="AV666" i="1"/>
  <c r="AV710" i="1"/>
  <c r="BC710" i="1"/>
  <c r="BC640" i="1"/>
  <c r="AV640" i="1"/>
  <c r="I444" i="1"/>
  <c r="F43" i="2" s="1"/>
  <c r="AV511" i="1"/>
  <c r="BC511" i="1"/>
  <c r="BC514" i="1"/>
  <c r="AV514" i="1"/>
  <c r="H309" i="1"/>
  <c r="E36" i="2" s="1"/>
  <c r="H254" i="1"/>
  <c r="E34" i="2" s="1"/>
  <c r="BC411" i="1"/>
  <c r="AV411" i="1"/>
  <c r="I340" i="1"/>
  <c r="F38" i="2" s="1"/>
  <c r="AV190" i="1"/>
  <c r="BC190" i="1"/>
  <c r="H195" i="1"/>
  <c r="BC133" i="1"/>
  <c r="I128" i="1"/>
  <c r="F23" i="2" s="1"/>
  <c r="BC115" i="1"/>
  <c r="AV115" i="1"/>
  <c r="AV118" i="1"/>
  <c r="H70" i="1"/>
  <c r="E17" i="2" s="1"/>
  <c r="BC543" i="1"/>
  <c r="AV543" i="1"/>
  <c r="AV653" i="1"/>
  <c r="BC653" i="1"/>
  <c r="AV516" i="1"/>
  <c r="BC516" i="1"/>
  <c r="BC611" i="1"/>
  <c r="BC591" i="1"/>
  <c r="AV591" i="1"/>
  <c r="BC615" i="1"/>
  <c r="AV615" i="1"/>
  <c r="AV559" i="1"/>
  <c r="BC559" i="1"/>
  <c r="BC408" i="1"/>
  <c r="AV408" i="1"/>
  <c r="AV419" i="1"/>
  <c r="BC419" i="1"/>
  <c r="BC284" i="1"/>
  <c r="AV284" i="1"/>
  <c r="BC199" i="1"/>
  <c r="AV199" i="1"/>
  <c r="H80" i="1"/>
  <c r="E18" i="2" s="1"/>
  <c r="BC77" i="1"/>
  <c r="AV77" i="1"/>
  <c r="BC97" i="1"/>
  <c r="AV97" i="1"/>
  <c r="C15" i="3"/>
  <c r="AV636" i="1"/>
  <c r="BC636" i="1"/>
  <c r="BC541" i="1"/>
  <c r="AV541" i="1"/>
  <c r="AV697" i="1"/>
  <c r="BC697" i="1"/>
  <c r="AV689" i="1"/>
  <c r="BC689" i="1"/>
  <c r="AV692" i="1"/>
  <c r="BC692" i="1"/>
  <c r="BC716" i="1"/>
  <c r="AV716" i="1"/>
  <c r="BC685" i="1"/>
  <c r="AV685" i="1"/>
  <c r="H677" i="1"/>
  <c r="E64" i="2" s="1"/>
  <c r="AV675" i="1"/>
  <c r="H651" i="1"/>
  <c r="E60" i="2" s="1"/>
  <c r="AV632" i="1"/>
  <c r="BC632" i="1"/>
  <c r="I404" i="1"/>
  <c r="F41" i="2" s="1"/>
  <c r="BC400" i="1"/>
  <c r="AV400" i="1"/>
  <c r="E55" i="2"/>
  <c r="I244" i="1"/>
  <c r="F32" i="2" s="1"/>
  <c r="BC350" i="1"/>
  <c r="AV350" i="1"/>
  <c r="AV324" i="1"/>
  <c r="BC324" i="1"/>
  <c r="BC144" i="1"/>
  <c r="AV144" i="1"/>
  <c r="BC81" i="1"/>
  <c r="AV81" i="1"/>
  <c r="AV59" i="1"/>
  <c r="BC59" i="1"/>
  <c r="AV64" i="1"/>
  <c r="BC64" i="1"/>
  <c r="BC71" i="1"/>
  <c r="BC397" i="1"/>
  <c r="AV397" i="1"/>
  <c r="BC712" i="1"/>
  <c r="AV712" i="1"/>
  <c r="BC704" i="1"/>
  <c r="AV704" i="1"/>
  <c r="AV672" i="1"/>
  <c r="BC672" i="1"/>
  <c r="BC573" i="1"/>
  <c r="AV573" i="1"/>
  <c r="AV607" i="1"/>
  <c r="BC607" i="1"/>
  <c r="BC403" i="1"/>
  <c r="AV403" i="1"/>
  <c r="BC394" i="1"/>
  <c r="AV394" i="1"/>
  <c r="AV623" i="1"/>
  <c r="BC623" i="1"/>
  <c r="I296" i="1"/>
  <c r="F35" i="2" s="1"/>
  <c r="BC440" i="1"/>
  <c r="AV440" i="1"/>
  <c r="AV280" i="1"/>
  <c r="BC280" i="1"/>
  <c r="AV235" i="1"/>
  <c r="BC235" i="1"/>
  <c r="BC175" i="1"/>
  <c r="AV175" i="1"/>
  <c r="AV68" i="1"/>
  <c r="BC68" i="1"/>
  <c r="I28" i="3"/>
  <c r="I29" i="3" s="1"/>
  <c r="BC676" i="1"/>
  <c r="AV676" i="1"/>
  <c r="BC448" i="1"/>
  <c r="AV448" i="1"/>
  <c r="BC519" i="1"/>
  <c r="AV519" i="1"/>
  <c r="BC336" i="1"/>
  <c r="AV336" i="1"/>
  <c r="AV219" i="1"/>
  <c r="BC219" i="1"/>
  <c r="BC139" i="1"/>
  <c r="AV139" i="1"/>
  <c r="BC96" i="1"/>
  <c r="AV96" i="1"/>
  <c r="BC92" i="1"/>
  <c r="AV92" i="1"/>
  <c r="J723" i="1"/>
  <c r="G12" i="2"/>
  <c r="I12" i="2" s="1"/>
  <c r="J12" i="1"/>
  <c r="G11" i="2" s="1"/>
  <c r="H621" i="1" l="1"/>
  <c r="E54" i="2" s="1"/>
  <c r="C22" i="3"/>
  <c r="I707" i="1"/>
  <c r="F67" i="2" s="1"/>
  <c r="G70" i="2"/>
  <c r="I194" i="1"/>
  <c r="F28" i="2" s="1"/>
  <c r="E29" i="2"/>
  <c r="H194" i="1"/>
  <c r="E28" i="2" s="1"/>
  <c r="H708" i="1"/>
  <c r="E68" i="2" s="1"/>
  <c r="H707" i="1"/>
  <c r="E67" i="2" s="1"/>
  <c r="E69" i="2"/>
  <c r="I621" i="1"/>
  <c r="F54" i="2" s="1"/>
  <c r="I12" i="1"/>
  <c r="F11" i="2" s="1"/>
  <c r="E12" i="2"/>
  <c r="H12" i="1"/>
  <c r="E11" i="2" s="1"/>
</calcChain>
</file>

<file path=xl/sharedStrings.xml><?xml version="1.0" encoding="utf-8"?>
<sst xmlns="http://schemas.openxmlformats.org/spreadsheetml/2006/main" count="4759" uniqueCount="1386">
  <si>
    <t>Slepý stavební rozpočet</t>
  </si>
  <si>
    <t>Název stavby:</t>
  </si>
  <si>
    <t>"OPRAVA ŘADOVÝCH GARÁŽÍ, Areál technických služeb Kroměříž"</t>
  </si>
  <si>
    <t>Doba výstavby:</t>
  </si>
  <si>
    <t xml:space="preserve"> </t>
  </si>
  <si>
    <t>Objednatel:</t>
  </si>
  <si>
    <t>Kroměřížské technické služby, s.r.o., Kaplanova 29</t>
  </si>
  <si>
    <t>Druh stavby:</t>
  </si>
  <si>
    <t>Garáže</t>
  </si>
  <si>
    <t>Začátek výstavby:</t>
  </si>
  <si>
    <t>01.05.2025</t>
  </si>
  <si>
    <t>Projektant:</t>
  </si>
  <si>
    <t>Lokalita:</t>
  </si>
  <si>
    <t>Kaplanova 2959, 767 01 Kroměříž</t>
  </si>
  <si>
    <t>Konec výstavby:</t>
  </si>
  <si>
    <t>Zhotovitel:</t>
  </si>
  <si>
    <t>dle výběrového řízení</t>
  </si>
  <si>
    <t>JKSO:</t>
  </si>
  <si>
    <t>Zpracováno dne:</t>
  </si>
  <si>
    <t>01.10.2024</t>
  </si>
  <si>
    <t>Zpracoval:</t>
  </si>
  <si>
    <t>GARANT projekt s.r.o.</t>
  </si>
  <si>
    <t>Č</t>
  </si>
  <si>
    <t>Kód</t>
  </si>
  <si>
    <t>Zkrácený popis</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</si>
  <si>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</si>
  <si>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</si>
  <si>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</si>
  <si>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</si>
  <si>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</si>
  <si>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</si>
  <si>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</si>
  <si>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</si>
  <si>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</si>
  <si>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</si>
  <si>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</si>
  <si>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</si>
  <si>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</si>
  <si>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</si>
  <si>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</si>
  <si>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</si>
  <si>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</si>
  <si>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</si>
  <si>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</si>
  <si>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</si>
  <si>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</si>
  <si>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</si>
  <si>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</si>
  <si>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</si>
  <si>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</si>
  <si>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</si>
  <si>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</si>
  <si>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SO03 řadové garáže - bourací práce</t>
  </si>
  <si>
    <t>97</t>
  </si>
  <si>
    <t>Prorážení otvorů a ostatní bourací práce</t>
  </si>
  <si>
    <t>D.1.1BP</t>
  </si>
  <si>
    <t>1</t>
  </si>
  <si>
    <t>978059631R00</t>
  </si>
  <si>
    <t>Odsekání vnějších obkladů stěn včetně lepícího tmelu nad 2 m2 - SU09</t>
  </si>
  <si>
    <t>m2</t>
  </si>
  <si>
    <t>RTS II / 2024</t>
  </si>
  <si>
    <t>97_</t>
  </si>
  <si>
    <t>D.1.1BP_9_</t>
  </si>
  <si>
    <t>D.1.1BP_</t>
  </si>
  <si>
    <t>0,3</t>
  </si>
  <si>
    <t>jihozápadní pohled (čelní)</t>
  </si>
  <si>
    <t>0,3+2,35+2,35+2,25+2,2+0,5</t>
  </si>
  <si>
    <t>severovýchodní (zadní)</t>
  </si>
  <si>
    <t>12,5</t>
  </si>
  <si>
    <t>jihozápadní (boční)</t>
  </si>
  <si>
    <t>2</t>
  </si>
  <si>
    <t>970251100R00</t>
  </si>
  <si>
    <t>Řezání železobetonu hl. řezu 100 mm - osazení L profilu u vrat (v 1. a 3. sekci)</t>
  </si>
  <si>
    <t>m</t>
  </si>
  <si>
    <t>pro osazení ocelového L podlahového profilu</t>
  </si>
  <si>
    <t>3,18</t>
  </si>
  <si>
    <t>1.sekce</t>
  </si>
  <si>
    <t>3.sekce</t>
  </si>
  <si>
    <t>3</t>
  </si>
  <si>
    <t>978015241R00</t>
  </si>
  <si>
    <t>Otlučení omítek vnějších MVC v složit.1-4 do 30 % - SU01</t>
  </si>
  <si>
    <t>32,52*4,55-111,1</t>
  </si>
  <si>
    <t>jihozápadní pohled (čelní), bez obkladů, otvorů</t>
  </si>
  <si>
    <t>32,35*4,55-70,14-(1,8*1,4*4)</t>
  </si>
  <si>
    <t>severovýchodní pohled (zadní), bez obkladů, otvorů</t>
  </si>
  <si>
    <t>90</t>
  </si>
  <si>
    <t>jihozápadní pohled (boční)</t>
  </si>
  <si>
    <t>4</t>
  </si>
  <si>
    <t>978013141R00</t>
  </si>
  <si>
    <t>Otlučení omítek vnitřních stěn v rozsahu do 30 %</t>
  </si>
  <si>
    <t>17,76*3,84</t>
  </si>
  <si>
    <t>10,26*3,84-(3*3,18*3,46)</t>
  </si>
  <si>
    <t>10,28*3,84-(2*3,17*3,46)-(1,78*1,4)</t>
  </si>
  <si>
    <t>18,7*3,84</t>
  </si>
  <si>
    <t>2.sekce</t>
  </si>
  <si>
    <t>10,15*3,84-(2*3,18*3,46)-(3,18*4,42)</t>
  </si>
  <si>
    <t>10,15*3,84-(1,8*1,4*2)-(3,17*3,46)</t>
  </si>
  <si>
    <t>17,7*3,84</t>
  </si>
  <si>
    <t>10,8*3,84-(2*3,18*3,46)-(3,18*3,84)</t>
  </si>
  <si>
    <t>10,8*3,84-(3,17*3,84)-(1,8*1,4)</t>
  </si>
  <si>
    <t>5</t>
  </si>
  <si>
    <t>971033341R00</t>
  </si>
  <si>
    <t>Vybourání otv. zeď cihel. pl.0,09 m2, tl.30cm, MVC - odvětrávací otvory - SU22</t>
  </si>
  <si>
    <t>kus</t>
  </si>
  <si>
    <t>9</t>
  </si>
  <si>
    <t>jihozápadní pohled</t>
  </si>
  <si>
    <t>11</t>
  </si>
  <si>
    <t>Přípravné a přidružené práce</t>
  </si>
  <si>
    <t>6</t>
  </si>
  <si>
    <t>113107430R00</t>
  </si>
  <si>
    <t>Odstranění podkladu nad 50 m2,kam.těžené tl.30 cm - SU19</t>
  </si>
  <si>
    <t>11_</t>
  </si>
  <si>
    <t>D.1.1BP_1_</t>
  </si>
  <si>
    <t>32,52*2,06</t>
  </si>
  <si>
    <t>čelní strana</t>
  </si>
  <si>
    <t>32,35*1,04</t>
  </si>
  <si>
    <t>zadní strana (od BIOPASU)</t>
  </si>
  <si>
    <t>7</t>
  </si>
  <si>
    <t>113151111R00</t>
  </si>
  <si>
    <t>Rozebrání ploch ze silničních panelů - SU19</t>
  </si>
  <si>
    <t>33,35*1,04</t>
  </si>
  <si>
    <t>8</t>
  </si>
  <si>
    <t>113107415R00</t>
  </si>
  <si>
    <t>Odstranění podkladu nad 50 m2,kam.těžené tl.15 cm - S01b</t>
  </si>
  <si>
    <t>185,18</t>
  </si>
  <si>
    <t>13</t>
  </si>
  <si>
    <t>Hloubené vykopávky</t>
  </si>
  <si>
    <t>132301211R00</t>
  </si>
  <si>
    <t>Hloubení rýh š.do 200 cm hor.4 do 100 m3, STROJNĚ - SU18</t>
  </si>
  <si>
    <t>m3</t>
  </si>
  <si>
    <t>13_</t>
  </si>
  <si>
    <t>32,52*0,5*0,2</t>
  </si>
  <si>
    <t>32,35*0,5*0,2</t>
  </si>
  <si>
    <t>21,25*0,5*0,7</t>
  </si>
  <si>
    <t>boční strana</t>
  </si>
  <si>
    <t>16</t>
  </si>
  <si>
    <t>Přemístění výkopku</t>
  </si>
  <si>
    <t>10</t>
  </si>
  <si>
    <t>167101101R00</t>
  </si>
  <si>
    <t>Nakládání výkopku z hor. 1 ÷ 4 v množství do 100 m3</t>
  </si>
  <si>
    <t>16_</t>
  </si>
  <si>
    <t>13,9245</t>
  </si>
  <si>
    <t>zemina</t>
  </si>
  <si>
    <t>100,635*0,3</t>
  </si>
  <si>
    <t>kamenivo</t>
  </si>
  <si>
    <t>185,18*0,15</t>
  </si>
  <si>
    <t>162701105R00</t>
  </si>
  <si>
    <t>Vodorovné přemístění výkopku z hor.1-4 do 10000 m</t>
  </si>
  <si>
    <t>31</t>
  </si>
  <si>
    <t>Zdi podpěrné a volné</t>
  </si>
  <si>
    <t>12</t>
  </si>
  <si>
    <t>319201315R00</t>
  </si>
  <si>
    <t>Vyrovnání zdiva pod omítku maltou ze suché maltové směsi tl. 10 mm (předpoklad 30%)</t>
  </si>
  <si>
    <t>31_</t>
  </si>
  <si>
    <t>D.1.1BP_3_</t>
  </si>
  <si>
    <t>(32,52*4,55-111,1)*0,3</t>
  </si>
  <si>
    <t>(32,35*4,55-70,14-(1,8*1,4*4))*0,3</t>
  </si>
  <si>
    <t>90*0,3</t>
  </si>
  <si>
    <t>319202321R00</t>
  </si>
  <si>
    <t>Vyrovnání povrchu zdiva přizděním do tl. 8 cm - u pilířů mezi vraty - bude fakturováno dle skutečnosti</t>
  </si>
  <si>
    <t>(0,25+0,35+0,25+0,35)*3,84*6</t>
  </si>
  <si>
    <t>SU07 - pozn. nové konstrukce</t>
  </si>
  <si>
    <t>62</t>
  </si>
  <si>
    <t>Úprava povrchů vnější</t>
  </si>
  <si>
    <t>14</t>
  </si>
  <si>
    <t>622904212R00</t>
  </si>
  <si>
    <t>Očištění organických nečiistot z fasád slož.1-2, Očištění od plísní, hub, mechů a řas. nanesení odstr., omytí povrchu tlak vodou s čističem - SU01</t>
  </si>
  <si>
    <t>62_</t>
  </si>
  <si>
    <t>D.1.1BP_6_</t>
  </si>
  <si>
    <t>15</t>
  </si>
  <si>
    <t>622904121R00</t>
  </si>
  <si>
    <t>Ruční čištění ocelovým kartáčem, ocelové sloupky - POZN. 06</t>
  </si>
  <si>
    <t>(0,623*4)*6</t>
  </si>
  <si>
    <t>IPN 160 - vnitřní sloupky</t>
  </si>
  <si>
    <t>622904121R00R</t>
  </si>
  <si>
    <t>Ruční čištění ocelovým kartáčem, plynové venkovní potrubí - SU17</t>
  </si>
  <si>
    <t>39,5*0,12</t>
  </si>
  <si>
    <t>17</t>
  </si>
  <si>
    <t>Ruční čištění stávajících ocelových vazníků - SU06</t>
  </si>
  <si>
    <t>94</t>
  </si>
  <si>
    <t>Lešení a stavební výtahy</t>
  </si>
  <si>
    <t>18</t>
  </si>
  <si>
    <t>941941041R00</t>
  </si>
  <si>
    <t>Montáž lešení leh.řad.s podlahami,š.1,2 m, H 10 m</t>
  </si>
  <si>
    <t>94_</t>
  </si>
  <si>
    <t>3*33</t>
  </si>
  <si>
    <t>severovýchodní pohled (zadní)</t>
  </si>
  <si>
    <t>4,5*18</t>
  </si>
  <si>
    <t>19</t>
  </si>
  <si>
    <t>944944011R00</t>
  </si>
  <si>
    <t>Montáž ochranné sítě z umělých vláken</t>
  </si>
  <si>
    <t>20</t>
  </si>
  <si>
    <t>941941191R00</t>
  </si>
  <si>
    <t>Příplatek za každý měsíc použití lešení k pol.1031 (předpoklad 2 měsíce)</t>
  </si>
  <si>
    <t>279*2</t>
  </si>
  <si>
    <t>předpoklad 2 měsíce</t>
  </si>
  <si>
    <t>21</t>
  </si>
  <si>
    <t>944944031R00</t>
  </si>
  <si>
    <t>Příplatek za každý měsíc použití sítí k pol. 4011 (předpoklad 2 měsíce)</t>
  </si>
  <si>
    <t>484*2</t>
  </si>
  <si>
    <t>22</t>
  </si>
  <si>
    <t>941941841R00</t>
  </si>
  <si>
    <t>Demontáž lešení leh.řad.s podlahami,š.1,2 m,H 10 m</t>
  </si>
  <si>
    <t>23</t>
  </si>
  <si>
    <t>944944081R00</t>
  </si>
  <si>
    <t>Demontáž ochranné sítě z umělých vláken</t>
  </si>
  <si>
    <t>24</t>
  </si>
  <si>
    <t>941955003R00</t>
  </si>
  <si>
    <t>Lešení lehké pomocné, výška podlahy do 2,5 m</t>
  </si>
  <si>
    <t>182,68</t>
  </si>
  <si>
    <t>1.01</t>
  </si>
  <si>
    <t>1.02</t>
  </si>
  <si>
    <t>189,79</t>
  </si>
  <si>
    <t>1.03</t>
  </si>
  <si>
    <t>25</t>
  </si>
  <si>
    <t>946941102RT1</t>
  </si>
  <si>
    <t>Montáž pojízdných Alu věží BOSS, 2,5 x 1,45 m, pracovní výška 4,2 m</t>
  </si>
  <si>
    <t>sada</t>
  </si>
  <si>
    <t>26</t>
  </si>
  <si>
    <t>946941192RT1</t>
  </si>
  <si>
    <t>Nájemné pojízdných Alu věží BOSS, 2,5 x 1,45 m, pracovní výška 4,2 m</t>
  </si>
  <si>
    <t>den</t>
  </si>
  <si>
    <t>27</t>
  </si>
  <si>
    <t>946941802RT1</t>
  </si>
  <si>
    <t>Demontáž pojízdných Alu věží BOSS, 2,5 x 1,45 m, pracovní výška 4,2 m</t>
  </si>
  <si>
    <t>96</t>
  </si>
  <si>
    <t>Bourání konstrukcí</t>
  </si>
  <si>
    <t>28</t>
  </si>
  <si>
    <t>962081131R00</t>
  </si>
  <si>
    <t>Bourání příček ze skleněných tvárnic tl. 10 cm - luxfery SU04</t>
  </si>
  <si>
    <t>96_</t>
  </si>
  <si>
    <t>(1,8*1,4)*4</t>
  </si>
  <si>
    <t>skleněné luxfery 4x</t>
  </si>
  <si>
    <t>29</t>
  </si>
  <si>
    <t>968072559R00</t>
  </si>
  <si>
    <t>Vybourání kovových vrat plochy nad 5 m2 - SU08</t>
  </si>
  <si>
    <t>3,18*3,84</t>
  </si>
  <si>
    <t xml:space="preserve"> čelní strana</t>
  </si>
  <si>
    <t>(3,18*3,46)*8</t>
  </si>
  <si>
    <t>(3,17*3,46)*3</t>
  </si>
  <si>
    <t>zadní strana</t>
  </si>
  <si>
    <t>(3,17*3,84)*2</t>
  </si>
  <si>
    <t>30</t>
  </si>
  <si>
    <t>965042241R00</t>
  </si>
  <si>
    <t>Bourání mazanin (panelů) betonových tl. nad 10 cm, nad 4 m2 - S01b</t>
  </si>
  <si>
    <t>185,18*0,15-(5,9*0,15)</t>
  </si>
  <si>
    <t>plocha - energokanál</t>
  </si>
  <si>
    <t>96PC001R</t>
  </si>
  <si>
    <t>Demontáž a zpětná montáž stávajících fasádních prvků vč. kotvení</t>
  </si>
  <si>
    <t>kpl</t>
  </si>
  <si>
    <t>RTS II / 2023</t>
  </si>
  <si>
    <t>32</t>
  </si>
  <si>
    <t>965048515R00</t>
  </si>
  <si>
    <t>Broušení betonových povrchů do tl. 5 mm (průměrná  tl. broušení 2 mm) - S01a</t>
  </si>
  <si>
    <t>182,68*0,4</t>
  </si>
  <si>
    <t>189,79*0,4</t>
  </si>
  <si>
    <t>33</t>
  </si>
  <si>
    <t>968072246R00R</t>
  </si>
  <si>
    <t>Vybourání kovových horních L profilů u energokanálu</t>
  </si>
  <si>
    <t>32*2</t>
  </si>
  <si>
    <t>34</t>
  </si>
  <si>
    <t>968072866R00</t>
  </si>
  <si>
    <t>Vybourání pozinkovaného plechu nad 2 m2 - u energokanálu</t>
  </si>
  <si>
    <t>32*0,55</t>
  </si>
  <si>
    <t>H99</t>
  </si>
  <si>
    <t>Ostatní přesuny hmot</t>
  </si>
  <si>
    <t>35</t>
  </si>
  <si>
    <t>999281105R00</t>
  </si>
  <si>
    <t>Přesun hmot pro opravy a údržbu do výšky 6 m</t>
  </si>
  <si>
    <t>t</t>
  </si>
  <si>
    <t>H99_</t>
  </si>
  <si>
    <t>722</t>
  </si>
  <si>
    <t>Ostatní</t>
  </si>
  <si>
    <t>36</t>
  </si>
  <si>
    <t>722130801R00R</t>
  </si>
  <si>
    <t>Demontáž potrubí PVC potrubí vedeného po stěně - SU10</t>
  </si>
  <si>
    <t>722_</t>
  </si>
  <si>
    <t>D.1.1BP_72_</t>
  </si>
  <si>
    <t>18,5</t>
  </si>
  <si>
    <t>762</t>
  </si>
  <si>
    <t>Konstrukce tesařské</t>
  </si>
  <si>
    <t>37</t>
  </si>
  <si>
    <t>762900080RA0</t>
  </si>
  <si>
    <t>Demontáž záklopu stropů, heraklitové desky - skkladba S03</t>
  </si>
  <si>
    <t>762_</t>
  </si>
  <si>
    <t>D.1.1BP_76_</t>
  </si>
  <si>
    <t>10,28*17,8</t>
  </si>
  <si>
    <t>10,45*17,8</t>
  </si>
  <si>
    <t>10,88*17,8</t>
  </si>
  <si>
    <t>38</t>
  </si>
  <si>
    <t>998762102R00</t>
  </si>
  <si>
    <t>Přesun hmot pro tesařské konstrukce, výšky do 12 m</t>
  </si>
  <si>
    <t>764</t>
  </si>
  <si>
    <t>Konstrukce klempířské</t>
  </si>
  <si>
    <t>39</t>
  </si>
  <si>
    <t>764900050RA0</t>
  </si>
  <si>
    <t>Demontáž oplechování parapetů - SU05</t>
  </si>
  <si>
    <t>764_</t>
  </si>
  <si>
    <t>1,8*4</t>
  </si>
  <si>
    <t>40</t>
  </si>
  <si>
    <t>764900040RA0</t>
  </si>
  <si>
    <t>Demontáž odpadních trub - SU03</t>
  </si>
  <si>
    <t>4,5*4</t>
  </si>
  <si>
    <t>celkem 4 svody</t>
  </si>
  <si>
    <t>41</t>
  </si>
  <si>
    <t>764900035RA0</t>
  </si>
  <si>
    <t>Demontáž podokapních žlabů půlkruhových - SU03</t>
  </si>
  <si>
    <t>32,7</t>
  </si>
  <si>
    <t>jihozápadní</t>
  </si>
  <si>
    <t>severovýchodní</t>
  </si>
  <si>
    <t>42</t>
  </si>
  <si>
    <t>764900060RA0</t>
  </si>
  <si>
    <t>Demontáž oplechování zdí, vrat - SU07, SU11</t>
  </si>
  <si>
    <t>9,5+9,5</t>
  </si>
  <si>
    <t>oplechování u štítu SO07</t>
  </si>
  <si>
    <t>3,5*8</t>
  </si>
  <si>
    <t>oplechování mezi garážovými vraty SO11</t>
  </si>
  <si>
    <t>43</t>
  </si>
  <si>
    <t>764900010RA0</t>
  </si>
  <si>
    <t>Demontáž krytiny střech - trapézový plech - SU02, S04</t>
  </si>
  <si>
    <t>32,7*10</t>
  </si>
  <si>
    <t>44</t>
  </si>
  <si>
    <t>998764102R00</t>
  </si>
  <si>
    <t>Přesun hmot pro klempířské konstr., výšky do 12 m</t>
  </si>
  <si>
    <t>783</t>
  </si>
  <si>
    <t>Nátěry</t>
  </si>
  <si>
    <t>45</t>
  </si>
  <si>
    <t>783900030RAA</t>
  </si>
  <si>
    <t>Odstranění nátěrů z dřevěných vaznic oškrábáním s obroušením - SU12</t>
  </si>
  <si>
    <t>783_</t>
  </si>
  <si>
    <t>D.1.1BP_78_</t>
  </si>
  <si>
    <t>((0,14+0,14+0,05+0,05)*32)*22</t>
  </si>
  <si>
    <t>předpoklad 22 vaznic</t>
  </si>
  <si>
    <t>46</t>
  </si>
  <si>
    <t>783903811R00</t>
  </si>
  <si>
    <t>Odmaštění chemickými rozpouštědly - stěny energokanálu</t>
  </si>
  <si>
    <t>(0,45*32)*2</t>
  </si>
  <si>
    <t>stěny energokanálu</t>
  </si>
  <si>
    <t>0,46*32</t>
  </si>
  <si>
    <t>podlaha energokanálu</t>
  </si>
  <si>
    <t>M21</t>
  </si>
  <si>
    <t>Elektromontáže</t>
  </si>
  <si>
    <t>47</t>
  </si>
  <si>
    <t>210290121R00R</t>
  </si>
  <si>
    <t>Demontáž vnitřních svítidel včetně kabeláže</t>
  </si>
  <si>
    <t>soubor</t>
  </si>
  <si>
    <t>M21_</t>
  </si>
  <si>
    <t>48</t>
  </si>
  <si>
    <t>210290121R01R</t>
  </si>
  <si>
    <t>Demontáž venkovního osvětlení - lampy - SU20</t>
  </si>
  <si>
    <t>ks</t>
  </si>
  <si>
    <t>RTS I / 2023</t>
  </si>
  <si>
    <t>49</t>
  </si>
  <si>
    <t>210290121681R</t>
  </si>
  <si>
    <t>Přepojení elektrokabelu z objektu - SU15</t>
  </si>
  <si>
    <t>50</t>
  </si>
  <si>
    <t>Demontáž elektrokabelu vedoucího po stěně objektu- SU14</t>
  </si>
  <si>
    <t>51</t>
  </si>
  <si>
    <t>210290121698R</t>
  </si>
  <si>
    <t>Odstranění / odpojení venkovního rozvaděče- SU21</t>
  </si>
  <si>
    <t>52</t>
  </si>
  <si>
    <t>Odstranění / případná demontáž stávajících kamer - SU13</t>
  </si>
  <si>
    <t>M65</t>
  </si>
  <si>
    <t>Elektroinstalace</t>
  </si>
  <si>
    <t>53</t>
  </si>
  <si>
    <t>650811112R00</t>
  </si>
  <si>
    <t>Demontáž vodiče svodového do D 10 mm vč. podpěr - SU16</t>
  </si>
  <si>
    <t>M65_</t>
  </si>
  <si>
    <t>(4,5+2,5)*3</t>
  </si>
  <si>
    <t>pohled jihozápadní</t>
  </si>
  <si>
    <t>(4,5+2,5)*2</t>
  </si>
  <si>
    <t>pohled severovýchodní</t>
  </si>
  <si>
    <t>54</t>
  </si>
  <si>
    <t>650811126R00</t>
  </si>
  <si>
    <t>Demontáž hromosvodové svorky nad 2 šrouby - SU16</t>
  </si>
  <si>
    <t>55</t>
  </si>
  <si>
    <t>650811134R00</t>
  </si>
  <si>
    <t>Demontáž podpěry vedení na trapézové střeše - SU16</t>
  </si>
  <si>
    <t>56</t>
  </si>
  <si>
    <t>650811151R00</t>
  </si>
  <si>
    <t>Demontáž jímací tyče na hřebenu střechy - SU16</t>
  </si>
  <si>
    <t>S</t>
  </si>
  <si>
    <t>Přesuny sutí</t>
  </si>
  <si>
    <t>57</t>
  </si>
  <si>
    <t>979094211R00</t>
  </si>
  <si>
    <t>Nakládání nebo překládání vybourané suti</t>
  </si>
  <si>
    <t>S_</t>
  </si>
  <si>
    <t>2,02</t>
  </si>
  <si>
    <t>obklady</t>
  </si>
  <si>
    <t>3,1+4,97</t>
  </si>
  <si>
    <t>omítky</t>
  </si>
  <si>
    <t>0,49</t>
  </si>
  <si>
    <t>cihly</t>
  </si>
  <si>
    <t>36,1+59,16+1,87</t>
  </si>
  <si>
    <t>beton / panely</t>
  </si>
  <si>
    <t>0,56</t>
  </si>
  <si>
    <t>sklo - luxfery</t>
  </si>
  <si>
    <t>10,48+2,22+0,05+0,3+0,1+4,79</t>
  </si>
  <si>
    <t>kov</t>
  </si>
  <si>
    <t>7,87</t>
  </si>
  <si>
    <t>heraklitové desky</t>
  </si>
  <si>
    <t>58</t>
  </si>
  <si>
    <t>979082111R00</t>
  </si>
  <si>
    <t>Vnitrostaveništní doprava suti do 10 m</t>
  </si>
  <si>
    <t>59</t>
  </si>
  <si>
    <t>979081111R00</t>
  </si>
  <si>
    <t>Odvoz suti a vybour. hmot na skládku do 1 km</t>
  </si>
  <si>
    <t>60</t>
  </si>
  <si>
    <t>979081121RT2</t>
  </si>
  <si>
    <t>Příplatek k odvozu za každý další 1 km (předpoklad 10 km)</t>
  </si>
  <si>
    <t>134,08*9</t>
  </si>
  <si>
    <t>61</t>
  </si>
  <si>
    <t>979999973R00</t>
  </si>
  <si>
    <t>Poplatek za uložení, zemina a kamení, (skup.170504)</t>
  </si>
  <si>
    <t>13,9245*1,8</t>
  </si>
  <si>
    <t>100,6352*0,3*1,9</t>
  </si>
  <si>
    <t>185,18*0,15*1,9</t>
  </si>
  <si>
    <t>979990101R00</t>
  </si>
  <si>
    <t>Poplatek za uložení směsi betonu a cihel skupina 170101 a 170102</t>
  </si>
  <si>
    <t>36,1+56,46+1,87</t>
  </si>
  <si>
    <t>beton</t>
  </si>
  <si>
    <t>63</t>
  </si>
  <si>
    <t>979990144R00</t>
  </si>
  <si>
    <t>Poplatek za uložení suti - tepelná izolace, skupina odpadu 170604</t>
  </si>
  <si>
    <t>64</t>
  </si>
  <si>
    <t>979990109R00</t>
  </si>
  <si>
    <t>Poplatek za uložení suti - skleněné tvárnice, skupina odpadu 070202</t>
  </si>
  <si>
    <t>luxfery</t>
  </si>
  <si>
    <t>65</t>
  </si>
  <si>
    <t>979951111R00</t>
  </si>
  <si>
    <t>Výkup kovů - železný šrot tl. do 4 mm</t>
  </si>
  <si>
    <t>SO03 řadové garáže - nové konstrukce</t>
  </si>
  <si>
    <t>Úprava povrchů vnitřní</t>
  </si>
  <si>
    <t>D.1.1NS</t>
  </si>
  <si>
    <t>66</t>
  </si>
  <si>
    <t>610991111R00</t>
  </si>
  <si>
    <t>Zakrývání výplní vnitřních otvorů</t>
  </si>
  <si>
    <t>61_</t>
  </si>
  <si>
    <t>D.1.1NS_6_</t>
  </si>
  <si>
    <t>D.1.1NS_</t>
  </si>
  <si>
    <t>3,5*3,8*9</t>
  </si>
  <si>
    <t>vrata</t>
  </si>
  <si>
    <t>2*1,5*3</t>
  </si>
  <si>
    <t>67</t>
  </si>
  <si>
    <t>612403382R00</t>
  </si>
  <si>
    <t>Hrubá výplň rýh ve stěnách do 5x5 cm maltou ze SMS</t>
  </si>
  <si>
    <t>(3,5*9)*2</t>
  </si>
  <si>
    <t>ostění u vrat</t>
  </si>
  <si>
    <t>68</t>
  </si>
  <si>
    <t>612420110RA0</t>
  </si>
  <si>
    <t>Omítka stěn vnitřní vápenocementová hrubá zatřená - zazděné otvory</t>
  </si>
  <si>
    <t>(3,3*3,5)*3</t>
  </si>
  <si>
    <t>u zazděnýh vrat</t>
  </si>
  <si>
    <t>(3,3*3,9)*2</t>
  </si>
  <si>
    <t>69</t>
  </si>
  <si>
    <t>612481270R00</t>
  </si>
  <si>
    <t>Síťovina pro vyztužení jádrové omítky, oka 10/10 mm</t>
  </si>
  <si>
    <t>70</t>
  </si>
  <si>
    <t>612421311R00</t>
  </si>
  <si>
    <t>Oprava vápen.omítek stěn do 30 % pl. - hrubých</t>
  </si>
  <si>
    <t>71</t>
  </si>
  <si>
    <t>612474611RT3</t>
  </si>
  <si>
    <t>Omítka stěn vnitřní, VPC jádro, vápen.štuk, ručně - vyspravení ostění u průmyslových vrat</t>
  </si>
  <si>
    <t>((0,25*3,5)*2)*8</t>
  </si>
  <si>
    <t>0,25*3,6*2</t>
  </si>
  <si>
    <t>72</t>
  </si>
  <si>
    <t>612421637R00</t>
  </si>
  <si>
    <t>Omítka vnitřní zdiva, MVC, štuková</t>
  </si>
  <si>
    <t>17,8*3,8</t>
  </si>
  <si>
    <t>10,3*3,8-(1,8*1,4)</t>
  </si>
  <si>
    <t>10,3*3,8-(3,18*3,46*3)</t>
  </si>
  <si>
    <t>18,6*3,83</t>
  </si>
  <si>
    <t>10,15*3,83-(1,8*1,4)</t>
  </si>
  <si>
    <t>10,15*3,83-(3,18*3,46*3)</t>
  </si>
  <si>
    <t>17,7*3,8</t>
  </si>
  <si>
    <t>10,7*3,8-(1,8*1,4)</t>
  </si>
  <si>
    <t>10,7*3,8-(3,18*3,46)*2-(3,18*3,61)</t>
  </si>
  <si>
    <t>Konstrukce ze zemin</t>
  </si>
  <si>
    <t>73</t>
  </si>
  <si>
    <t>174101101R00</t>
  </si>
  <si>
    <t>Zásyp jam, rýh, šachet se zhutněním (po vrstvách 200 mm) stávající zeminou</t>
  </si>
  <si>
    <t>17_</t>
  </si>
  <si>
    <t>D.1.1NS_1_</t>
  </si>
  <si>
    <t>0,5*0,46*32,5</t>
  </si>
  <si>
    <t>strana jihozápadní</t>
  </si>
  <si>
    <t>0,5*0,2*32,5</t>
  </si>
  <si>
    <t>strana severozápadní</t>
  </si>
  <si>
    <t>0,5*0,5*18,5</t>
  </si>
  <si>
    <t>strana jihovýchodní</t>
  </si>
  <si>
    <t>74</t>
  </si>
  <si>
    <t>319201311R00</t>
  </si>
  <si>
    <t>Vyrovnání povrchu zdiva maltou tl.do 3 cm - (předpoklad vyspravení 30%) - bude fakturováno dle skutečnosti</t>
  </si>
  <si>
    <t>D.1.1NS_3_</t>
  </si>
  <si>
    <t>(4,5*32,5-(3,18*3,61)-(3,18*3,46*8))*0,3</t>
  </si>
  <si>
    <t>(4,5*32,5-(3,27*3,51*3)-(3,27*3,8*2)-(1,8*1,4*3))*0,3</t>
  </si>
  <si>
    <t>(98,2)*0,3</t>
  </si>
  <si>
    <t>pohled jihovýchodní</t>
  </si>
  <si>
    <t>Stěny a příčky</t>
  </si>
  <si>
    <t>75</t>
  </si>
  <si>
    <t>346275111R00</t>
  </si>
  <si>
    <t>Přizdívky z desek pórobetonových tl. 50 mm - zazdění průmyslových vrat (dle skutečnosti)</t>
  </si>
  <si>
    <t>34_</t>
  </si>
  <si>
    <t>(3,2*3,9)*2</t>
  </si>
  <si>
    <t>zazděná vrata</t>
  </si>
  <si>
    <t>(3,2*3,5)*3</t>
  </si>
  <si>
    <t>76</t>
  </si>
  <si>
    <t>340271615R001</t>
  </si>
  <si>
    <t>Zazdívka otvorů, pórobet.tvár.,tl.30cm - u průmyslových vrat</t>
  </si>
  <si>
    <t>(3,2*3,9*0,3)*2</t>
  </si>
  <si>
    <t>(3,2*3,5*0,3)*3</t>
  </si>
  <si>
    <t>Podkladní a vedlejší konstrukce (kromě vozovek a železničního svršku)</t>
  </si>
  <si>
    <t>77</t>
  </si>
  <si>
    <t>457621412R00</t>
  </si>
  <si>
    <t>D+M Těsnění z asfaltobet. úprava spár zálivkou, bitumenová hmota, viz. specifikace výrobků - P06</t>
  </si>
  <si>
    <t>45_</t>
  </si>
  <si>
    <t>D.1.1NS_4_</t>
  </si>
  <si>
    <t>napojení stávajících a nových asfaltových ploch</t>
  </si>
  <si>
    <t>Podkladní vrstvy komunikací, letišť a ploch</t>
  </si>
  <si>
    <t>78</t>
  </si>
  <si>
    <t>568111111R00</t>
  </si>
  <si>
    <t>Zřízení vrstvy z geotextilie skl.do 1:5, š.do 3 m - S02b, S02c</t>
  </si>
  <si>
    <t>56_</t>
  </si>
  <si>
    <t>D.1.1NS_5_</t>
  </si>
  <si>
    <t>pod asfaltové plochy</t>
  </si>
  <si>
    <t>2,06*32,5</t>
  </si>
  <si>
    <t>čelní</t>
  </si>
  <si>
    <t>1,04*32,5</t>
  </si>
  <si>
    <t>zadní</t>
  </si>
  <si>
    <t>0,5*21,43</t>
  </si>
  <si>
    <t>pod okapový chodník</t>
  </si>
  <si>
    <t>18,5*1</t>
  </si>
  <si>
    <t>ochrana nopové folie</t>
  </si>
  <si>
    <t>(32,5*0,7)*2</t>
  </si>
  <si>
    <t>79</t>
  </si>
  <si>
    <t>568119111R00</t>
  </si>
  <si>
    <t>Příplatek-upevnění geotex.,do 1:5, 4 skoby/10 m2</t>
  </si>
  <si>
    <t>1*18,5</t>
  </si>
  <si>
    <t>jihovýchodní</t>
  </si>
  <si>
    <t>0,7*32,2</t>
  </si>
  <si>
    <t>80</t>
  </si>
  <si>
    <t>67352006</t>
  </si>
  <si>
    <t>Geotextilie netkaná  500 g/m2</t>
  </si>
  <si>
    <t>111,465</t>
  </si>
  <si>
    <t>ve zpevněných plochách</t>
  </si>
  <si>
    <t>;ztratné 10%; 11,1465</t>
  </si>
  <si>
    <t>81</t>
  </si>
  <si>
    <t>67352004</t>
  </si>
  <si>
    <t>Geotextilie netkaná 300 g/m2</t>
  </si>
  <si>
    <t>0,7*32,5</t>
  </si>
  <si>
    <t>;ztratné 5%; 3,2</t>
  </si>
  <si>
    <t>82</t>
  </si>
  <si>
    <t>564851111RT2</t>
  </si>
  <si>
    <t>Podklad ze štěrkodrti po zhutnění tloušťky 15 cm, štěrkodrť frakce 0-32 mm - S02c</t>
  </si>
  <si>
    <t>83</t>
  </si>
  <si>
    <t>564861111RT2</t>
  </si>
  <si>
    <t>Podklad ze štěrkodrti po zhutnění tloušťky 20 cm, štěrkodrť frakce 0-32 mm - S02b</t>
  </si>
  <si>
    <t>84</t>
  </si>
  <si>
    <t>215901101RT5</t>
  </si>
  <si>
    <t>Zhutnění podloží z hornin nesoudržných do 92% PS vibrační deskou</t>
  </si>
  <si>
    <t>0,5*32,5</t>
  </si>
  <si>
    <t>0,5*18,5</t>
  </si>
  <si>
    <t>85</t>
  </si>
  <si>
    <t>567132115R00</t>
  </si>
  <si>
    <t>Podklad z kameniva zpev.cementem SC C8/10 tl.20 cm - S02b</t>
  </si>
  <si>
    <t>86</t>
  </si>
  <si>
    <t>565171111R00</t>
  </si>
  <si>
    <t>Podklad z obal kamen. ACP 22+, š. do 3 m, tl.10 cm - SO02b</t>
  </si>
  <si>
    <t>2,06*32,5-(0,25*32,5)</t>
  </si>
  <si>
    <t>1,04*32,5-(0,25*32,5)</t>
  </si>
  <si>
    <t>87</t>
  </si>
  <si>
    <t>564201111R00</t>
  </si>
  <si>
    <t>Podklad ze štěrkopísku fr. 4/8 po zhutnění tloušťky 4 cm - SO02c</t>
  </si>
  <si>
    <t>88</t>
  </si>
  <si>
    <t>564851111R00</t>
  </si>
  <si>
    <t>Podklad ze štěrkodrti po zhutnění tloušťky 15 cm, frakce 16/32 - S01b</t>
  </si>
  <si>
    <t>185,18-(0,55*10,5)</t>
  </si>
  <si>
    <t>Kryty pozemních komunikací, letišť a ploch z kameniva nebo živičné</t>
  </si>
  <si>
    <t>89</t>
  </si>
  <si>
    <t>573231127R00R</t>
  </si>
  <si>
    <t>Postřik živičný spojovací z asfaltu 0,5-0,7 kg/m2 - S02b</t>
  </si>
  <si>
    <t>57_</t>
  </si>
  <si>
    <t>573231123R00R</t>
  </si>
  <si>
    <t>Postřik živičný spojovací z asfaltu 0,2 kg/m2 - S02b</t>
  </si>
  <si>
    <t>91</t>
  </si>
  <si>
    <t>577142212R001</t>
  </si>
  <si>
    <t>Beton asfalt. ACO 8,ACO 11,ACO 16, š.nad 3 m, 6 cm - S02b</t>
  </si>
  <si>
    <t>Kryty pozemních komunikací, letišť a ploch dlážděných (předlažby)</t>
  </si>
  <si>
    <t>92</t>
  </si>
  <si>
    <t>596215021R001</t>
  </si>
  <si>
    <t>Kladení betonové dlažby tl. 5 cm do drtě tl. 4 cm</t>
  </si>
  <si>
    <t>59_</t>
  </si>
  <si>
    <t>okapový chodník</t>
  </si>
  <si>
    <t>93</t>
  </si>
  <si>
    <t>592453331</t>
  </si>
  <si>
    <t>Dlaždice betonová 500 x 500 x 50 mm hladká standard šedá</t>
  </si>
  <si>
    <t>596831111R00</t>
  </si>
  <si>
    <t>Kladení dlažby z dlaždic kom.pro pěší do lože z MV</t>
  </si>
  <si>
    <t>32,3*0,25</t>
  </si>
  <si>
    <t>pohled čelní</t>
  </si>
  <si>
    <t>32,35*0,25</t>
  </si>
  <si>
    <t>pohled zadní</t>
  </si>
  <si>
    <t>95</t>
  </si>
  <si>
    <t>592162117</t>
  </si>
  <si>
    <t>Přídlažba silniční  50/25/10 přírodní</t>
  </si>
  <si>
    <t>Omítky ze suchých směsí</t>
  </si>
  <si>
    <t>602011102R00</t>
  </si>
  <si>
    <t>Postřik cementový, ručně - u zazděných otvorů</t>
  </si>
  <si>
    <t>60_</t>
  </si>
  <si>
    <t>602016191R00</t>
  </si>
  <si>
    <t>Penetrační nátěr stěn, včetně dodávky penetrace</t>
  </si>
  <si>
    <t>98</t>
  </si>
  <si>
    <t>602016195R00</t>
  </si>
  <si>
    <t>Penetrace hloubková stěn, včetně dodávky penetrace</t>
  </si>
  <si>
    <t>99</t>
  </si>
  <si>
    <t>602021189R00</t>
  </si>
  <si>
    <t>Omítka tenkovrstvá na stěnách mozaiková - Marmolit soklová část</t>
  </si>
  <si>
    <t>0,37+0,37+(0,15*8)</t>
  </si>
  <si>
    <t>32,5*0,5</t>
  </si>
  <si>
    <t>18,5*0,4</t>
  </si>
  <si>
    <t>100</t>
  </si>
  <si>
    <t>602021187RV1</t>
  </si>
  <si>
    <t>D+M stěrka na stěnách silikonová, zrnitost 1,5 mm</t>
  </si>
  <si>
    <t>133,48-(11)-(10,01*8)</t>
  </si>
  <si>
    <t>129,1-(1,8*1,4)</t>
  </si>
  <si>
    <t>92,8</t>
  </si>
  <si>
    <t>3,18*0,3*9</t>
  </si>
  <si>
    <t>ostění +  nadpraží</t>
  </si>
  <si>
    <t>(3,46*0,3*2)*8</t>
  </si>
  <si>
    <t>3,6*0,3*2</t>
  </si>
  <si>
    <t>1,8*0,15*3</t>
  </si>
  <si>
    <t>(1,4*0,15)*3</t>
  </si>
  <si>
    <t>101</t>
  </si>
  <si>
    <t>620991121R00</t>
  </si>
  <si>
    <t>Zakrývání výplní vnějších otvorů z lešení</t>
  </si>
  <si>
    <t>102</t>
  </si>
  <si>
    <t>622323041R00</t>
  </si>
  <si>
    <t>Penetrace podkladu</t>
  </si>
  <si>
    <t>25,59</t>
  </si>
  <si>
    <t>soklová část</t>
  </si>
  <si>
    <t>103</t>
  </si>
  <si>
    <t>622300131R00</t>
  </si>
  <si>
    <t>Vyrovnávací tmel tl. do 5 mm - 100% plochy - bude fakturováno dle skutečnosti</t>
  </si>
  <si>
    <t>25,58</t>
  </si>
  <si>
    <t>104</t>
  </si>
  <si>
    <t>622481211RT2</t>
  </si>
  <si>
    <t>Montáž výztužné sítě (perlinky) do stěrky-vněj.stěny, včetně výztužné sítě a stěrkového tmelu</t>
  </si>
  <si>
    <t>(3,5*4)*5</t>
  </si>
  <si>
    <t>zdvojená perlinka u nově zazděných otvorů</t>
  </si>
  <si>
    <t>Podlahy a podlahové konstrukce</t>
  </si>
  <si>
    <t>105</t>
  </si>
  <si>
    <t>632421460R00</t>
  </si>
  <si>
    <t>Provedení potěru ve spádu, ruční zpracování, tloušťky 50 mm, bez penetrace podkladu - parapety</t>
  </si>
  <si>
    <t>63_</t>
  </si>
  <si>
    <t>(1,8*0,25)*4</t>
  </si>
  <si>
    <t xml:space="preserve"> vnitřní parapet u luxfer</t>
  </si>
  <si>
    <t>106</t>
  </si>
  <si>
    <t>632451014R00</t>
  </si>
  <si>
    <t>Vyrovnávací cementový potěr, v pásu, tl. 50 mm - parapet</t>
  </si>
  <si>
    <t>1,8*0,25*4</t>
  </si>
  <si>
    <t>107</t>
  </si>
  <si>
    <t>632450022RA0</t>
  </si>
  <si>
    <t>Vyrovnávací, ochranný cementový  potěr  tl. 30mm,  specifikace viz. technická zpráva - SO01b</t>
  </si>
  <si>
    <t>108</t>
  </si>
  <si>
    <t>632450026RA0</t>
  </si>
  <si>
    <t>Vyrovnávací potěr tl. 50 mm v průměru, specifikace viz. technická zpráva - S01a</t>
  </si>
  <si>
    <t>182,68-(0,55*10,3)</t>
  </si>
  <si>
    <t>189,79-(0,55*10,7)</t>
  </si>
  <si>
    <t>109</t>
  </si>
  <si>
    <t>632479122R00</t>
  </si>
  <si>
    <t>Reprofilační potěr tl. do 5 mm, včetně spojovacího můstku (pro stabilizaci povrchu) - S01a</t>
  </si>
  <si>
    <t>(182,68-(0,55*10,3))*0,2</t>
  </si>
  <si>
    <t>1.01 předpoklad 20%</t>
  </si>
  <si>
    <t>(189,79-(0,55*10,7))*0,2</t>
  </si>
  <si>
    <t>1.03 předpoklad 20%</t>
  </si>
  <si>
    <t>110</t>
  </si>
  <si>
    <t>631315811RT4</t>
  </si>
  <si>
    <t>Mazanina betonová tl. 12 - 24 cm C 30/37, specifikace viz. technická zpráva - SO01b</t>
  </si>
  <si>
    <t>(185,18-(0,55*10,5))*0,14</t>
  </si>
  <si>
    <t>1.02 drátkobeton C 30/37</t>
  </si>
  <si>
    <t>(20-40 kg/m2) drátků</t>
  </si>
  <si>
    <t>111</t>
  </si>
  <si>
    <t>631571008R00R</t>
  </si>
  <si>
    <t>Násyp z písku prosátého tl. do 40 mm, specifikace viz. technická zpráva - SO01b</t>
  </si>
  <si>
    <t>H01</t>
  </si>
  <si>
    <t>Budovy občanské výstavby</t>
  </si>
  <si>
    <t>112</t>
  </si>
  <si>
    <t>998011002R00</t>
  </si>
  <si>
    <t>Přesun hmot pro budovy zděné výšky do 12 m</t>
  </si>
  <si>
    <t>H01_</t>
  </si>
  <si>
    <t>D.1.1NS_9_</t>
  </si>
  <si>
    <t>711</t>
  </si>
  <si>
    <t>Izolace proti vodě</t>
  </si>
  <si>
    <t>113</t>
  </si>
  <si>
    <t>711212005RT1</t>
  </si>
  <si>
    <t>Hydroizolační povlak - stěrka včetně penetrace, ve dvou vrstvách tl. 3 mm - specifikace viz. technická zpráva - S01a</t>
  </si>
  <si>
    <t>711_</t>
  </si>
  <si>
    <t>D.1.1NS_71_</t>
  </si>
  <si>
    <t>114</t>
  </si>
  <si>
    <t>Hydroizolační povlak - stěrka včetně penetrace,ve dvou vrstvách tl. 3 mm - stěny a podlaha energokanálu</t>
  </si>
  <si>
    <t>31,5*0,5*2</t>
  </si>
  <si>
    <t>podlaha napočítána v předchozí položce</t>
  </si>
  <si>
    <t>115</t>
  </si>
  <si>
    <t>711823121RT1</t>
  </si>
  <si>
    <t>Montáž nopové fólie svisle</t>
  </si>
  <si>
    <t>116</t>
  </si>
  <si>
    <t>28323132</t>
  </si>
  <si>
    <t>Fólie nopová š. 1000 mm dl. 20 m, nopy 8 mm</t>
  </si>
  <si>
    <t>63,58</t>
  </si>
  <si>
    <t>;ztratné 10%; 6,358</t>
  </si>
  <si>
    <t>117</t>
  </si>
  <si>
    <t>711823129RT1</t>
  </si>
  <si>
    <t>Montáž ukončovací lišty k nopové fólii</t>
  </si>
  <si>
    <t>118</t>
  </si>
  <si>
    <t>283424105</t>
  </si>
  <si>
    <t>Lišta ukončovací k nopové folii dl. 2 m - P04</t>
  </si>
  <si>
    <t>20/2</t>
  </si>
  <si>
    <t>119</t>
  </si>
  <si>
    <t>711171559RT3</t>
  </si>
  <si>
    <t>Provedení izolace proti vlhkosti na ploše vodorovné, fólií, volně, včetně fólie PVC tl. 1,5 mm, specifikace viz. technická zpráva - SO01b</t>
  </si>
  <si>
    <t>120</t>
  </si>
  <si>
    <t>711191171R00</t>
  </si>
  <si>
    <t>Provedení izolace proti vlhkosti na ploše vodorovné, podkladní textilií - S01b</t>
  </si>
  <si>
    <t>(185,18-(0,55*10,5))*3</t>
  </si>
  <si>
    <t>1.02 - celkem 3x PE folie + 2x geotextilie</t>
  </si>
  <si>
    <t>121</t>
  </si>
  <si>
    <t>Geotextilie netkaná 300 g/m2 - S01b</t>
  </si>
  <si>
    <t>S01b</t>
  </si>
  <si>
    <t>;ztratné 5%; 8,97025</t>
  </si>
  <si>
    <t>122</t>
  </si>
  <si>
    <t>Geotextilie netkaná  500 g/m2 - S01b</t>
  </si>
  <si>
    <t>123</t>
  </si>
  <si>
    <t>67352208.AR</t>
  </si>
  <si>
    <t>PE folie, separační bariéra proti zatečení cementu do nižší vrstvy - S01b</t>
  </si>
  <si>
    <t>;ztratné 10%; 17,9405</t>
  </si>
  <si>
    <t>124</t>
  </si>
  <si>
    <t>998711101R00</t>
  </si>
  <si>
    <t>Přesun hmot pro izolace proti vodě, výšky do 6 m</t>
  </si>
  <si>
    <t>713</t>
  </si>
  <si>
    <t>Izolace tepelné</t>
  </si>
  <si>
    <t>125</t>
  </si>
  <si>
    <t>713111111R00</t>
  </si>
  <si>
    <t>Montáž tepelné izolace stropů vrchem kladené, volně</t>
  </si>
  <si>
    <t>713_</t>
  </si>
  <si>
    <t>126</t>
  </si>
  <si>
    <t>631530014R</t>
  </si>
  <si>
    <t>Minerální izolace skelná vata, tl. 120 mm - specifikace viz. technická zpráva - S03</t>
  </si>
  <si>
    <t>557,65</t>
  </si>
  <si>
    <t>;ztratné 5%; 27,8825</t>
  </si>
  <si>
    <t>127</t>
  </si>
  <si>
    <t>998713102R00</t>
  </si>
  <si>
    <t>Přesun hmot pro izolace tepelné, výšky do 12 m</t>
  </si>
  <si>
    <t>721</t>
  </si>
  <si>
    <t>Vnitřní kanalizace</t>
  </si>
  <si>
    <t>128</t>
  </si>
  <si>
    <t>721242111R001</t>
  </si>
  <si>
    <t>D+M lapač střešních splavenin PP HL660, D 125 mm - P05</t>
  </si>
  <si>
    <t>721_</t>
  </si>
  <si>
    <t>D.1.1NS_72_</t>
  </si>
  <si>
    <t>129</t>
  </si>
  <si>
    <t>998721102R00</t>
  </si>
  <si>
    <t>Přesun hmot pro vnitřní kanalizaci, výšky do 12 m</t>
  </si>
  <si>
    <t>761</t>
  </si>
  <si>
    <t>Konstrukce sklobetonové</t>
  </si>
  <si>
    <t>130</t>
  </si>
  <si>
    <t>761669101R00</t>
  </si>
  <si>
    <t>Montáž sklobet.okna z tvárnic 19x19x8 (10) cm, tmel - O01</t>
  </si>
  <si>
    <t>761_</t>
  </si>
  <si>
    <t>D.1.1NS_76_</t>
  </si>
  <si>
    <t>4 ks</t>
  </si>
  <si>
    <t>131</t>
  </si>
  <si>
    <t>63482528x</t>
  </si>
  <si>
    <t>Tvárnice skleněná - protipožární luxfera 19x19x10 cm, barva NEUTRO - čirá, lesklý povrch s deker. vlnky, EI 15DP3, viz. výpis - O01</t>
  </si>
  <si>
    <t>63*4</t>
  </si>
  <si>
    <t>1 okno 63 luxfer</t>
  </si>
  <si>
    <t>ztratné 5%</t>
  </si>
  <si>
    <t>132</t>
  </si>
  <si>
    <t>998761101R00</t>
  </si>
  <si>
    <t>Přesun hmot pro sklobetonové konstr., výšky do 6 m</t>
  </si>
  <si>
    <t>133</t>
  </si>
  <si>
    <t>762421130R00</t>
  </si>
  <si>
    <t>Montáž obložení stropů dřevocem.deskami tl.do 50mm</t>
  </si>
  <si>
    <t>134</t>
  </si>
  <si>
    <t>59590776</t>
  </si>
  <si>
    <t>Cementotřísková deska tl. 10 mm - specifikace viz. technická zpráva - S03</t>
  </si>
  <si>
    <t>135</t>
  </si>
  <si>
    <t>762332110R00</t>
  </si>
  <si>
    <t>Montáž vázaných krovů pravidelných do 120 cm2 (předpokládaná výměna vazniček 10%)</t>
  </si>
  <si>
    <t>(32,7*22)*0,1</t>
  </si>
  <si>
    <t>předpokládaná výměna vazniček</t>
  </si>
  <si>
    <t>z 10%</t>
  </si>
  <si>
    <t>136</t>
  </si>
  <si>
    <t>60515823</t>
  </si>
  <si>
    <t>Hranol konstrukční KVH NSi, SM, C24, 80 x 140 mm, 5 m</t>
  </si>
  <si>
    <t>0,08*0,14*72</t>
  </si>
  <si>
    <t>šířka x výška x délka</t>
  </si>
  <si>
    <t>137</t>
  </si>
  <si>
    <t>138</t>
  </si>
  <si>
    <t>764310010RAA</t>
  </si>
  <si>
    <t>Krytina střech z Pz plechu, profilovaný trapézový plech - specifikace viz. technická zpráva - S04</t>
  </si>
  <si>
    <t>139</t>
  </si>
  <si>
    <t>764816127RT31</t>
  </si>
  <si>
    <t>D+M oplechování parapetů, lakovaný Pz plech, rš 220 mm, lepení na nízkoex. pěnu, vč. spoj. prostředků, spec. viz. výpis - K.01</t>
  </si>
  <si>
    <t>140</t>
  </si>
  <si>
    <t>764817163R00</t>
  </si>
  <si>
    <t>D+M hřebenový plech pozinkovaný, r.š. 470 mm, s polyesterovým lakováním, vč. spoj. mat., viz. výpis - K.02</t>
  </si>
  <si>
    <t>32,5</t>
  </si>
  <si>
    <t>141</t>
  </si>
  <si>
    <t>764391210R001R</t>
  </si>
  <si>
    <t>D+M lišta okapní, rš 250 mm, s polyesterovým lakováním, vč. spoj. mat., viz. výpis  - K.03</t>
  </si>
  <si>
    <t>32,5*2</t>
  </si>
  <si>
    <t>2 ks</t>
  </si>
  <si>
    <t>142</t>
  </si>
  <si>
    <t>764430210R00</t>
  </si>
  <si>
    <t>D+M ukončující oplechování u štítové stěny z Pz plechu, rš 200 mm, s polyesterovým lakováním, vč. spoj. mat., viz. výpis  - K.04</t>
  </si>
  <si>
    <t>9,99*2</t>
  </si>
  <si>
    <t>143</t>
  </si>
  <si>
    <t>764908106R00</t>
  </si>
  <si>
    <t>D+M žlab podokapní půlkruhový R,velikost 200 mm, R.Š. 400, povrchově chráněný vrstvou měk. PVC, vč. spoj. mat., viz. výpis  - K.05</t>
  </si>
  <si>
    <t>16,35*4</t>
  </si>
  <si>
    <t>144</t>
  </si>
  <si>
    <t>764908110R00R</t>
  </si>
  <si>
    <t>D+M odpadní trouby kruhové SROR, D 150 mm, povrchově chráněný vrstvou měk. PVC, vč. spoj. mat., viz. výpis  - K.06</t>
  </si>
  <si>
    <t>4,5</t>
  </si>
  <si>
    <t>4ks</t>
  </si>
  <si>
    <t>145</t>
  </si>
  <si>
    <t>764908102R00</t>
  </si>
  <si>
    <t>D+M kotlík žlabový kónický SOK,vel.žlabu 150 mm - K.06</t>
  </si>
  <si>
    <t>146</t>
  </si>
  <si>
    <t>765</t>
  </si>
  <si>
    <t>Krytina tvrdá</t>
  </si>
  <si>
    <t>147</t>
  </si>
  <si>
    <t>765901001R00</t>
  </si>
  <si>
    <t>Montáž podstřešní fólie</t>
  </si>
  <si>
    <t>765_</t>
  </si>
  <si>
    <t>148</t>
  </si>
  <si>
    <t>28329030</t>
  </si>
  <si>
    <t>Pojistná paropropustná fólie - specifikace viz. technická zpráva - S03</t>
  </si>
  <si>
    <t>149</t>
  </si>
  <si>
    <t>998765102R00</t>
  </si>
  <si>
    <t>Přesun hmot pro krytiny tvrdé, výšky do 12 m</t>
  </si>
  <si>
    <t>766</t>
  </si>
  <si>
    <t>Konstrukce truhlářské</t>
  </si>
  <si>
    <t>150</t>
  </si>
  <si>
    <t>769PC6x</t>
  </si>
  <si>
    <t>D+M sekčních. průmyslových vrat - vrat. kř. z plných lamel + 2x pros. panelu, 3180x3610, větr. mřížky,pohon 70Nm,vč. přísl. viz. výpis   - V01</t>
  </si>
  <si>
    <t>Soubor</t>
  </si>
  <si>
    <t>766_</t>
  </si>
  <si>
    <t>151</t>
  </si>
  <si>
    <t>769PC5x</t>
  </si>
  <si>
    <t>D+M sekčních. průmysl. vrat - vrat. kř. z plných lamel + pros. panelu, integ. dveří, 3180x3460, větr. mřížky,pohon 70Nm,vč. přísl. viz. výpis   - V02a</t>
  </si>
  <si>
    <t>152</t>
  </si>
  <si>
    <t>769PC6</t>
  </si>
  <si>
    <t>D+M sekčních. průmyslových vrat - vrat. kř. z plných lamel + pros. panelu, 3180x3460, větr. mřížky,pohon 70Nm,vč. přísl. viz. výpis   - V02b</t>
  </si>
  <si>
    <t>153</t>
  </si>
  <si>
    <t>998766101R00</t>
  </si>
  <si>
    <t>Přesun hmot pro truhlářské konstr., výšky do 6 m</t>
  </si>
  <si>
    <t>767</t>
  </si>
  <si>
    <t>Konstrukce doplňkové stavební (zámečnické)</t>
  </si>
  <si>
    <t>154</t>
  </si>
  <si>
    <t>767584641R00</t>
  </si>
  <si>
    <t>Montáž podhledů ostatních - rošty (CD + UD) vč. kotevního a spojovacího materiálu - S03</t>
  </si>
  <si>
    <t>767_</t>
  </si>
  <si>
    <t>155</t>
  </si>
  <si>
    <t>55360041</t>
  </si>
  <si>
    <t>Prvek konstrukční UD profil  28/27 mm</t>
  </si>
  <si>
    <t>10,5+10,5+18+18</t>
  </si>
  <si>
    <t>10,8+10,8+18+18</t>
  </si>
  <si>
    <t>156</t>
  </si>
  <si>
    <t>55360021</t>
  </si>
  <si>
    <t>Prvek konstrukční CD profil  pozink 60/27 mm</t>
  </si>
  <si>
    <t>18*107</t>
  </si>
  <si>
    <t>předpokládaná os. vzdálenost 30 cm</t>
  </si>
  <si>
    <t>;ztratné 5%; 96,3</t>
  </si>
  <si>
    <t>157</t>
  </si>
  <si>
    <t>55360021x</t>
  </si>
  <si>
    <t>Spojovací prvky pro uchycení konstrukčních prvků v podhledu</t>
  </si>
  <si>
    <t>158</t>
  </si>
  <si>
    <t>767955106R00R</t>
  </si>
  <si>
    <t>Vložení ocelových prvků pro vyztužení sklobetonových výplní nad plochu 1 m2 - O01</t>
  </si>
  <si>
    <t>159</t>
  </si>
  <si>
    <t>58953474</t>
  </si>
  <si>
    <t>Výztuž betonářská žebírková B500B, d 6 mm, střih + ohyb</t>
  </si>
  <si>
    <t>(1,8*2)*4*0,00022</t>
  </si>
  <si>
    <t>1 m = 0,22 kg</t>
  </si>
  <si>
    <t>1 okno 2 ks výztuže</t>
  </si>
  <si>
    <t>160</t>
  </si>
  <si>
    <t>42972805</t>
  </si>
  <si>
    <t>D+M mřížka čtyřhranná  150 x 150 mm, hliníková, viz. výpis - Z04</t>
  </si>
  <si>
    <t>9 ks</t>
  </si>
  <si>
    <t>161</t>
  </si>
  <si>
    <t>767995106R00</t>
  </si>
  <si>
    <t>Výroba a montáž kov. atypických konstr. do 250 kg Z02, Z08</t>
  </si>
  <si>
    <t>kg</t>
  </si>
  <si>
    <t>196</t>
  </si>
  <si>
    <t>Z02</t>
  </si>
  <si>
    <t>Z08</t>
  </si>
  <si>
    <t>162</t>
  </si>
  <si>
    <t>133355901</t>
  </si>
  <si>
    <t>Tyč ocelová L nerovnoramenná S235JR, rozměr 100 x 50 x 6 mm - Z02</t>
  </si>
  <si>
    <t>(3,2*0,0068)*9</t>
  </si>
  <si>
    <t>9ks</t>
  </si>
  <si>
    <t>163</t>
  </si>
  <si>
    <t>13485310</t>
  </si>
  <si>
    <t>Tyč ocelová UPE 160, S235JR - Z08</t>
  </si>
  <si>
    <t>(0,01757*3,32)*2</t>
  </si>
  <si>
    <t>celkem 2 ks</t>
  </si>
  <si>
    <t>17,57 kg = 1 m</t>
  </si>
  <si>
    <t>164</t>
  </si>
  <si>
    <t>767990010RADR</t>
  </si>
  <si>
    <t>D+M ochranné opláštění u přesahů vazníků ze spodní strany - TAHOKOV, tl. plechu 1mm, vč. přísl, viz. výpis - Z05</t>
  </si>
  <si>
    <t>0,55*32,5</t>
  </si>
  <si>
    <t>165</t>
  </si>
  <si>
    <t>767995108R00</t>
  </si>
  <si>
    <t>Výroba a montáž kov. atypických konstr. nad 500 kg - Z07, Z10</t>
  </si>
  <si>
    <t>704</t>
  </si>
  <si>
    <t>Z07</t>
  </si>
  <si>
    <t>721,6</t>
  </si>
  <si>
    <t>Z10</t>
  </si>
  <si>
    <t>166</t>
  </si>
  <si>
    <t>13483310</t>
  </si>
  <si>
    <t>Tyč ocelová U 120, S235JR - Z07</t>
  </si>
  <si>
    <t>(0,01222*3,2)*18</t>
  </si>
  <si>
    <t>celkem 18 ks</t>
  </si>
  <si>
    <t>1 m = 12,22 kg</t>
  </si>
  <si>
    <t>167</t>
  </si>
  <si>
    <t>13640720</t>
  </si>
  <si>
    <t>Plech lístkový S235JR 5,00 x 1000 x 2000 mm - Z10</t>
  </si>
  <si>
    <t>0,7216</t>
  </si>
  <si>
    <t>rozměr energokanálu cca</t>
  </si>
  <si>
    <t>31,8*0,55</t>
  </si>
  <si>
    <t>168</t>
  </si>
  <si>
    <t>767995105R00</t>
  </si>
  <si>
    <t>Výroba a montáž kov. atypických konstr. do 100 kg - Z09</t>
  </si>
  <si>
    <t>Z09</t>
  </si>
  <si>
    <t>169</t>
  </si>
  <si>
    <t>133355901R</t>
  </si>
  <si>
    <t>Tyč ocelová L nerovnoramenná S235JR, rozměr 20 x 50 x 3 mm - Z09</t>
  </si>
  <si>
    <t>(6*0,00151)*11</t>
  </si>
  <si>
    <t>celkem 11 ks</t>
  </si>
  <si>
    <t>1 m = 1,51 kg</t>
  </si>
  <si>
    <t>170</t>
  </si>
  <si>
    <t>13890204</t>
  </si>
  <si>
    <t>Přirážka za pozinkování ocel.výrobků 100-500 kg - Z02, Z07, Z08, Z09</t>
  </si>
  <si>
    <t>RTS II / 2022</t>
  </si>
  <si>
    <t>171</t>
  </si>
  <si>
    <t>998767102R00</t>
  </si>
  <si>
    <t>Přesun hmot pro zámečnické konstr., výšky do 12 m</t>
  </si>
  <si>
    <t>172</t>
  </si>
  <si>
    <t>783782205R00</t>
  </si>
  <si>
    <t>Nátěr tesařských konstrukcí fungicidním a insekticidním přípravkem na dřevo 2x</t>
  </si>
  <si>
    <t>D.1.1NS_78_</t>
  </si>
  <si>
    <t>(0,14*2)*32,7*22</t>
  </si>
  <si>
    <t>dřevěné vazničky</t>
  </si>
  <si>
    <t>(0,05*2)*32,7*22</t>
  </si>
  <si>
    <t>173</t>
  </si>
  <si>
    <t>783125730R00</t>
  </si>
  <si>
    <t>Nátěr syntetický nebo základní (žlutá) plynové potrubí - Z03</t>
  </si>
  <si>
    <t>3,14*0,2*35</t>
  </si>
  <si>
    <t>severozápadní</t>
  </si>
  <si>
    <t>3,14*0,2*6</t>
  </si>
  <si>
    <t>174</t>
  </si>
  <si>
    <t>783123110R00R</t>
  </si>
  <si>
    <t>2x Antikorozní základní nátěr + 1x vrchní nátěr stávajícího vazníku - S04</t>
  </si>
  <si>
    <t>10 ks</t>
  </si>
  <si>
    <t>175</t>
  </si>
  <si>
    <t>783851223R22x</t>
  </si>
  <si>
    <t>Epoxidová penetrační hmota, přesná specifikace viz. tech. zpráva - S01a, S01b</t>
  </si>
  <si>
    <t>176</t>
  </si>
  <si>
    <t>783851223R00x</t>
  </si>
  <si>
    <t>Epoxidový finální nátěr, přesná specifikace viz. tech. zpráva - S01a, S01b</t>
  </si>
  <si>
    <t>177</t>
  </si>
  <si>
    <t>783851223R15x</t>
  </si>
  <si>
    <t>Pružná hydroizolační polyuretanová membrána, přesná specifikace viz. tech. zpráva - S01a, S01b</t>
  </si>
  <si>
    <t>178</t>
  </si>
  <si>
    <t>783892220R00</t>
  </si>
  <si>
    <t>Nátěr omítek stěn dvojnásobný (hydrofobní nátěr zdiva u soklu z EXT.)</t>
  </si>
  <si>
    <t>784</t>
  </si>
  <si>
    <t>Malby</t>
  </si>
  <si>
    <t>179</t>
  </si>
  <si>
    <t>784236212R00</t>
  </si>
  <si>
    <t>Malba Interiér, bílá, bez penetrace, 2 x</t>
  </si>
  <si>
    <t>784_</t>
  </si>
  <si>
    <t>stěny</t>
  </si>
  <si>
    <t>180</t>
  </si>
  <si>
    <t>784161401R00</t>
  </si>
  <si>
    <t>Penetrace podkladu nátěrem, 1 x</t>
  </si>
  <si>
    <t>181</t>
  </si>
  <si>
    <t>784011222RT2</t>
  </si>
  <si>
    <t>Zakrytí podlah papírovou lepenkou, včetně papírové lepenky</t>
  </si>
  <si>
    <t>182</t>
  </si>
  <si>
    <t>784441010R00</t>
  </si>
  <si>
    <t>Malba latexová 2x, 1barevná, místnost v. do 3,8 m - (vnitřní sloupy - bezpečnostní vzor žlutá, černá)</t>
  </si>
  <si>
    <t>((0,2+0,35+0,2+0,35)*3,8)*7</t>
  </si>
  <si>
    <t>celkem 7 sloupů</t>
  </si>
  <si>
    <t>Doplňující konstrukce a práce na pozemních komunikacích a zpevněných plochách</t>
  </si>
  <si>
    <t>183</t>
  </si>
  <si>
    <t>916561111RT7</t>
  </si>
  <si>
    <t>Osazení záhon.obrubníků do lože z C 12/15 s opěrou, včetně obrubníku   100/5/20 cm</t>
  </si>
  <si>
    <t>91_</t>
  </si>
  <si>
    <t>25,2</t>
  </si>
  <si>
    <t>jihovýchodní pohled</t>
  </si>
  <si>
    <t>184</t>
  </si>
  <si>
    <t>918101111R00</t>
  </si>
  <si>
    <t>Lože pod obrubníky nebo obruby dlažeb z C 12/15</t>
  </si>
  <si>
    <t>25,2*0,2*0,1</t>
  </si>
  <si>
    <t>Různé dokončovací konstrukce a práce na pozemních stavbách</t>
  </si>
  <si>
    <t>185</t>
  </si>
  <si>
    <t>953941395R00</t>
  </si>
  <si>
    <t>Vystavení revizní zprávy-požární hasicí přístroj</t>
  </si>
  <si>
    <t>95_</t>
  </si>
  <si>
    <t>186</t>
  </si>
  <si>
    <t>953941312R00</t>
  </si>
  <si>
    <t>Osazení požárního hasicího přístroje na stěnu</t>
  </si>
  <si>
    <t>187</t>
  </si>
  <si>
    <t>44984114</t>
  </si>
  <si>
    <t>Přístroj hasicí práškový viz. specifikace PBŘ - P03</t>
  </si>
  <si>
    <t>188</t>
  </si>
  <si>
    <t>953945111RT1R</t>
  </si>
  <si>
    <t>D+M ventilační turbíny, složena ze tří kusů - základny, krku, rotační hlavice, průměr hrdla 356 mm, viz. specifikace výrobků - P01</t>
  </si>
  <si>
    <t>189</t>
  </si>
  <si>
    <t>953945111RT2R</t>
  </si>
  <si>
    <t>D+M hranaté kusové potrubí, "komínek" nad střechu z jednotlivých kusů, včetně mřížky - P02</t>
  </si>
  <si>
    <t>kpl.</t>
  </si>
  <si>
    <t>190</t>
  </si>
  <si>
    <t>95394645T2R</t>
  </si>
  <si>
    <t>Zpětná montáž "ostatních" prvků na fasádu (kamerový systém, elektroinstalace)</t>
  </si>
  <si>
    <t>191</t>
  </si>
  <si>
    <t>952901411R00</t>
  </si>
  <si>
    <t>Vyčištění ostatních objektů</t>
  </si>
  <si>
    <t>192</t>
  </si>
  <si>
    <t>952901110R00</t>
  </si>
  <si>
    <t>Čištění mytím vnějších ploch oken a dveří</t>
  </si>
  <si>
    <t>3,2*3,5</t>
  </si>
  <si>
    <t>3,2*3,4*8</t>
  </si>
  <si>
    <t>193</t>
  </si>
  <si>
    <t>954114104R00</t>
  </si>
  <si>
    <t>SDK obkl.ocel.sloup 4str.spec.držák,1xRFI tl.12,5</t>
  </si>
  <si>
    <t>3,85*7</t>
  </si>
  <si>
    <t>Zařízení silnoproudé elektrotechniky, hromosvod</t>
  </si>
  <si>
    <t>D.1.4.4</t>
  </si>
  <si>
    <t>194</t>
  </si>
  <si>
    <t>612403399RT2</t>
  </si>
  <si>
    <t>Hrubá výplň rýh ve stěnách maltou</t>
  </si>
  <si>
    <t>D.1.4.4_6_</t>
  </si>
  <si>
    <t>D.1.4.4_</t>
  </si>
  <si>
    <t>0,15*0,15*10</t>
  </si>
  <si>
    <t>zapravení okolo rozvaděče</t>
  </si>
  <si>
    <t>195</t>
  </si>
  <si>
    <t>612403380RT1</t>
  </si>
  <si>
    <t>Hrubá výplň rýh ve stěnách do 3x3 cm maltou ze SMS</t>
  </si>
  <si>
    <t>612405680RT1R</t>
  </si>
  <si>
    <t>Podružný materiál vruty, šrouby, sádra apod.</t>
  </si>
  <si>
    <t>197</t>
  </si>
  <si>
    <t>974051313R00</t>
  </si>
  <si>
    <t>Frézování drážky do 30x30 mm, zdivo,cihel.tvárnice</t>
  </si>
  <si>
    <t>D.1.4.4_9_</t>
  </si>
  <si>
    <t>198</t>
  </si>
  <si>
    <t>974100020RA0</t>
  </si>
  <si>
    <t>Vysekání rýh ve zdivu z cihel, 10 x 10 cm</t>
  </si>
  <si>
    <t>199</t>
  </si>
  <si>
    <t>971042122R00</t>
  </si>
  <si>
    <t>Vrtání otvorů, zdi betonové, do 3 cm, hl. do 30 cm</t>
  </si>
  <si>
    <t>1+10</t>
  </si>
  <si>
    <t>200</t>
  </si>
  <si>
    <t>979100013RA0</t>
  </si>
  <si>
    <t>Odvoz suti a vyb.hmot do 15 km, vnitrost. 15 m</t>
  </si>
  <si>
    <t>0,15</t>
  </si>
  <si>
    <t>100VD</t>
  </si>
  <si>
    <t>Přípojka NN</t>
  </si>
  <si>
    <t>201</t>
  </si>
  <si>
    <t>650031119R00x</t>
  </si>
  <si>
    <t>Připojení z rozvaděče RMS3 (v RMS3 je připravený jistič)</t>
  </si>
  <si>
    <t>100VD_</t>
  </si>
  <si>
    <t>D.1.4.4_1_</t>
  </si>
  <si>
    <t>202</t>
  </si>
  <si>
    <t>210810014RT1</t>
  </si>
  <si>
    <t>Kabel CYKY-m 750 V 4 žíly,16-25 mm2, včetně dodávky kabelu 4x16 mm2</t>
  </si>
  <si>
    <t>203</t>
  </si>
  <si>
    <t>210010123R00</t>
  </si>
  <si>
    <t>Montáž trubka ochranná z PE, uložená volně, do DN 47</t>
  </si>
  <si>
    <t>204</t>
  </si>
  <si>
    <t>345711595</t>
  </si>
  <si>
    <t>Trubka elektroinstalační ohebná DN 50 mm</t>
  </si>
  <si>
    <t>205</t>
  </si>
  <si>
    <t>210800105RT1</t>
  </si>
  <si>
    <t>D+M HOP</t>
  </si>
  <si>
    <t>206</t>
  </si>
  <si>
    <t>210800114R00R</t>
  </si>
  <si>
    <t>D+M Vkládací lišta</t>
  </si>
  <si>
    <t>207</t>
  </si>
  <si>
    <t>D+M Požární ucpávka</t>
  </si>
  <si>
    <t>208</t>
  </si>
  <si>
    <t>Drobný elektroinstalační materiál</t>
  </si>
  <si>
    <t>209</t>
  </si>
  <si>
    <t>649841R</t>
  </si>
  <si>
    <t>Revize přípojky</t>
  </si>
  <si>
    <t>S100VD</t>
  </si>
  <si>
    <t>Rozvodnice RG</t>
  </si>
  <si>
    <t>210</t>
  </si>
  <si>
    <t>D+M RG - např.: xEnergy Basic, na omítku, plechový, IP55, 600x1560x270, 216 modulů</t>
  </si>
  <si>
    <t>S100VD_</t>
  </si>
  <si>
    <t>211</t>
  </si>
  <si>
    <t>D+M R-S - hl. vypínač, svodič přepětí, jističe, chrániče, lišty, svorkovice, relé, propojky, impulzní relé, apod.</t>
  </si>
  <si>
    <t>212</t>
  </si>
  <si>
    <t>D+M Nehořlavá deska</t>
  </si>
  <si>
    <t>213</t>
  </si>
  <si>
    <t>210800114R01R</t>
  </si>
  <si>
    <t>Drobný elektroinstalační materiál + montáž - usazení rozvaděče</t>
  </si>
  <si>
    <t>004VD</t>
  </si>
  <si>
    <t>Ovládací prvky: (standart jako např. ABB Tango)</t>
  </si>
  <si>
    <t>214</t>
  </si>
  <si>
    <t>210110021RT1</t>
  </si>
  <si>
    <t>D+M Vypínače č.1, vč.klapky a rámečku, IP44</t>
  </si>
  <si>
    <t>004VD_</t>
  </si>
  <si>
    <t>D.1.4.4_0_</t>
  </si>
  <si>
    <t>005VD</t>
  </si>
  <si>
    <t>Svítidla (přesné typy musí odsouhlasit investor)</t>
  </si>
  <si>
    <t>215</t>
  </si>
  <si>
    <t>D+M Osvětlení 1 - LED reflektor, 99,2W/15863lm/3000K, IP44</t>
  </si>
  <si>
    <t>005VD_</t>
  </si>
  <si>
    <t>216</t>
  </si>
  <si>
    <t>D+M Osvětlení 2 - LED svítidlo, 51W/7557lm/4000K, IP44</t>
  </si>
  <si>
    <t>217</t>
  </si>
  <si>
    <t>210800114R02R</t>
  </si>
  <si>
    <t>D+M Osvětlení N1 - NOUZOVÉ LED SVÍTIDLO, 4,4W/350lm, nástěnné, IP44, nouzový modul 1h</t>
  </si>
  <si>
    <t>218</t>
  </si>
  <si>
    <t>210800114R07R</t>
  </si>
  <si>
    <t>Recyklační poplatek</t>
  </si>
  <si>
    <t>219</t>
  </si>
  <si>
    <t>210800114R06R</t>
  </si>
  <si>
    <t>Měření osvětlení + protokol</t>
  </si>
  <si>
    <t>006VD</t>
  </si>
  <si>
    <t>Ostatní technologie</t>
  </si>
  <si>
    <t>220</t>
  </si>
  <si>
    <t>Připojení vrat - dle dodavatele vrat</t>
  </si>
  <si>
    <t>006VD_</t>
  </si>
  <si>
    <t>221</t>
  </si>
  <si>
    <t>Bezpečnostní evakuační značení - fotoluminiscenční</t>
  </si>
  <si>
    <t>007VD</t>
  </si>
  <si>
    <t>Zásuvky</t>
  </si>
  <si>
    <t>222</t>
  </si>
  <si>
    <t>650052611R00</t>
  </si>
  <si>
    <t>Zásuvková skříň, obsahuje jističe a chránič, zásuvky: 1x400V/16A + 2x230V/16A, IP44</t>
  </si>
  <si>
    <t>007VD_</t>
  </si>
  <si>
    <t>008VD</t>
  </si>
  <si>
    <t>Kabeláž</t>
  </si>
  <si>
    <t>223</t>
  </si>
  <si>
    <t>220301021R00</t>
  </si>
  <si>
    <t>Montáž Lišta elektroinstalační L 20</t>
  </si>
  <si>
    <t>008VD_</t>
  </si>
  <si>
    <t>100+220</t>
  </si>
  <si>
    <t>224</t>
  </si>
  <si>
    <t>345710531</t>
  </si>
  <si>
    <t>El. instalační trubka ohebná pr.20, vč.úchytek</t>
  </si>
  <si>
    <t>225</t>
  </si>
  <si>
    <t>34571092R</t>
  </si>
  <si>
    <t>Trubka elektroinstalační tuhá z PVC, průměr 20 mm, vč. úchytek</t>
  </si>
  <si>
    <t>226</t>
  </si>
  <si>
    <t>210020332R00R</t>
  </si>
  <si>
    <t>D+M Kabelový žlab 150/50, vč.uchycení a všech dílů</t>
  </si>
  <si>
    <t>227</t>
  </si>
  <si>
    <t>210810017RT2</t>
  </si>
  <si>
    <t>Kabel CYKY-m 750 V 5 žil,4 až 25 mm2, včetně dodávky kabelu 5x6 mm2</t>
  </si>
  <si>
    <t>228</t>
  </si>
  <si>
    <t>210800116RT1x</t>
  </si>
  <si>
    <t>Kabel CYKY 750 V 5x2,5 mm2, včetně dodávky kabelu</t>
  </si>
  <si>
    <t>229</t>
  </si>
  <si>
    <t>210800105RT1x</t>
  </si>
  <si>
    <t>Kabel CYKY 750 V 3x1,5 mm2, včetně dodávky kabelu</t>
  </si>
  <si>
    <t>230</t>
  </si>
  <si>
    <t>222270609R00x</t>
  </si>
  <si>
    <t>CYA 16 ZŽL</t>
  </si>
  <si>
    <t>231</t>
  </si>
  <si>
    <t>222270605R00x</t>
  </si>
  <si>
    <t>CY 6 ZŽL</t>
  </si>
  <si>
    <t>232</t>
  </si>
  <si>
    <t>210010301RT1</t>
  </si>
  <si>
    <t>D+M Krabice přístrojová KP, bez zapojení, kruhová, uložení pod omítku,včetně dodávky KP 68/2</t>
  </si>
  <si>
    <t>233</t>
  </si>
  <si>
    <t>210010346RT2</t>
  </si>
  <si>
    <t>D+M Drobný, pomocný, elektroinstalační materiál</t>
  </si>
  <si>
    <t>234</t>
  </si>
  <si>
    <t>210010346RT2R</t>
  </si>
  <si>
    <t>D+M požármí ucpávky</t>
  </si>
  <si>
    <t>009VD</t>
  </si>
  <si>
    <t>Bleskosvod</t>
  </si>
  <si>
    <t>235</t>
  </si>
  <si>
    <t>650111611RT8R</t>
  </si>
  <si>
    <t>D+M Vedení – drát AlMgSi O8</t>
  </si>
  <si>
    <t>009VD_</t>
  </si>
  <si>
    <t>236</t>
  </si>
  <si>
    <t>210800105RT1R</t>
  </si>
  <si>
    <t>D+M Vedení – pásek Nerez V4A 30x3,5mm</t>
  </si>
  <si>
    <t>237</t>
  </si>
  <si>
    <t>D+M Vedení – drát O10 nerez</t>
  </si>
  <si>
    <t>238</t>
  </si>
  <si>
    <t>880800105RT12R</t>
  </si>
  <si>
    <t>D+M Vodič HVI Light Plus</t>
  </si>
  <si>
    <t>239</t>
  </si>
  <si>
    <t>220111771R00R</t>
  </si>
  <si>
    <t>D+M Podpůrná trubka GFK 2,7 m + JT 1 m</t>
  </si>
  <si>
    <t>240</t>
  </si>
  <si>
    <t>220111771R08R</t>
  </si>
  <si>
    <t>D+M Držák podpůrné trubky na kovovou střechu</t>
  </si>
  <si>
    <t>241</t>
  </si>
  <si>
    <t>220111781R08R</t>
  </si>
  <si>
    <t>D+M Montážní lišta pro držák na kovové střechy (1 m)</t>
  </si>
  <si>
    <t>242</t>
  </si>
  <si>
    <t>D+M Držák na kovové střechy pod nýty/šrouby</t>
  </si>
  <si>
    <t>243</t>
  </si>
  <si>
    <t>220118781R08R</t>
  </si>
  <si>
    <t>D+M Sada připojovacích prvků HVI, vnitřní</t>
  </si>
  <si>
    <t>244</t>
  </si>
  <si>
    <t>D+M Držák vedení HVI s připojovací sponou</t>
  </si>
  <si>
    <t>245</t>
  </si>
  <si>
    <t>D+M Držák vedení HVI na stěnu</t>
  </si>
  <si>
    <t>246</t>
  </si>
  <si>
    <t>86011177158R</t>
  </si>
  <si>
    <t>D+M Zemní litinová krabice se zkušební svorkou</t>
  </si>
  <si>
    <t>247</t>
  </si>
  <si>
    <t>880800105RT9R</t>
  </si>
  <si>
    <t>D+M Křížová svorka</t>
  </si>
  <si>
    <t>248</t>
  </si>
  <si>
    <t>7501116115R</t>
  </si>
  <si>
    <t>D+M Svorka SS</t>
  </si>
  <si>
    <t>249</t>
  </si>
  <si>
    <t>72011177158R</t>
  </si>
  <si>
    <t>Připojení k ocelové konstrukci</t>
  </si>
  <si>
    <t>250</t>
  </si>
  <si>
    <t>710800105RT51R</t>
  </si>
  <si>
    <t>D+M Ekvipotenciální připojnice</t>
  </si>
  <si>
    <t>251</t>
  </si>
  <si>
    <t>710800105RT9R</t>
  </si>
  <si>
    <t>D+M Svorka pro ekvipotenciální přípojnice</t>
  </si>
  <si>
    <t>252</t>
  </si>
  <si>
    <t>D+M asfaltový nátěr</t>
  </si>
  <si>
    <t>253</t>
  </si>
  <si>
    <t>76011177158R</t>
  </si>
  <si>
    <t>D+M Drobný elektroinstalační materiál</t>
  </si>
  <si>
    <t>254</t>
  </si>
  <si>
    <t>770800105RT51R</t>
  </si>
  <si>
    <t>Dohled, koordinace, komunikace s revizním technikem, dílenská dokumentace</t>
  </si>
  <si>
    <t>255</t>
  </si>
  <si>
    <t>780800105RT9R</t>
  </si>
  <si>
    <t>Revize hromosvodu</t>
  </si>
  <si>
    <t>002VD</t>
  </si>
  <si>
    <t>256</t>
  </si>
  <si>
    <t>222330891R001x</t>
  </si>
  <si>
    <t>Oživení, měření, doprava</t>
  </si>
  <si>
    <t>002VD_</t>
  </si>
  <si>
    <t>257</t>
  </si>
  <si>
    <t>222330891R002x</t>
  </si>
  <si>
    <t>Koordinace s ostatními profesemi</t>
  </si>
  <si>
    <t>258</t>
  </si>
  <si>
    <t>222330891R003x</t>
  </si>
  <si>
    <t>Celková prohlídka elektrických rozvodů, Revize</t>
  </si>
  <si>
    <t>259</t>
  </si>
  <si>
    <t>222330891R004x</t>
  </si>
  <si>
    <t>Dokumentace skutečného provedení</t>
  </si>
  <si>
    <t>260</t>
  </si>
  <si>
    <t>222330891R005x</t>
  </si>
  <si>
    <t>Dokumentace Zhotovitele</t>
  </si>
  <si>
    <t>261</t>
  </si>
  <si>
    <t>979981101R00</t>
  </si>
  <si>
    <t>Kontejner, přistavení na 24 h, odvoz a likvidace, suť bez příměsí, kapacita 3 t</t>
  </si>
  <si>
    <t>Vedlejší a ostatní rozpočtové náklady</t>
  </si>
  <si>
    <t>VORN</t>
  </si>
  <si>
    <t>03VRN</t>
  </si>
  <si>
    <t>Vedlejší náklady</t>
  </si>
  <si>
    <t>262</t>
  </si>
  <si>
    <t>030001VRN</t>
  </si>
  <si>
    <t>Zařízení staveniště - veškeré náklady spojené s vybudováním, provozem a odstraněním ZS</t>
  </si>
  <si>
    <t>03VRN_</t>
  </si>
  <si>
    <t>VORN_Â _</t>
  </si>
  <si>
    <t>VORN_</t>
  </si>
  <si>
    <t>263</t>
  </si>
  <si>
    <t>030002VRN</t>
  </si>
  <si>
    <t>Zkoušky a revize - náklady zhotovitele na provádění zkoušek a revizí nezbytných k provedení díla</t>
  </si>
  <si>
    <t>264</t>
  </si>
  <si>
    <t>030003VRN</t>
  </si>
  <si>
    <t>Provozní vlivy - zohlednění všech cizích vlivů způsobených na stavbě</t>
  </si>
  <si>
    <t>265</t>
  </si>
  <si>
    <t>030004VRN</t>
  </si>
  <si>
    <t>Geodetické práce - vytyčení všech stávajících podzemních sítí, stavby, IS, skutečného provedení atd</t>
  </si>
  <si>
    <t>266</t>
  </si>
  <si>
    <t>030005VRN</t>
  </si>
  <si>
    <t>Mimostaveništní doprava - mimořádné náklady spojené s dopravou materiálu na staveniště</t>
  </si>
  <si>
    <t>267</t>
  </si>
  <si>
    <t>030006VRN</t>
  </si>
  <si>
    <t>Územní vlivy - zohlednění dopravních omezení záborů veřejných ploch vč. dokumentace a povolení přechodné úpravy provozu na pozemních kom.</t>
  </si>
  <si>
    <t>268</t>
  </si>
  <si>
    <t>030007VRN</t>
  </si>
  <si>
    <t>Vnitroareálová doprava - mimořádné náklady spojené se stíženými podmínkami (absence přístupu apod.)</t>
  </si>
  <si>
    <t>269</t>
  </si>
  <si>
    <t>030008VRN</t>
  </si>
  <si>
    <t>Dokumentace skutečného provedení (5 paré)</t>
  </si>
  <si>
    <t>270</t>
  </si>
  <si>
    <t>030009VRN</t>
  </si>
  <si>
    <t>Bankovní záruky - náklady na bankovní záruky dle podmínek zadavatele</t>
  </si>
  <si>
    <t>271</t>
  </si>
  <si>
    <t>0300010VRN</t>
  </si>
  <si>
    <t>Pojištění stavby - náklady na pojištění stavby dle podmínek zadavatele</t>
  </si>
  <si>
    <t>272</t>
  </si>
  <si>
    <t>0300011VRN</t>
  </si>
  <si>
    <t>Dílenská a výrobní dokumentace</t>
  </si>
  <si>
    <t>273</t>
  </si>
  <si>
    <t>0300012VRN</t>
  </si>
  <si>
    <t>Koordinační činnost pro jednotlivé profese vč. dokumentace</t>
  </si>
  <si>
    <t>274</t>
  </si>
  <si>
    <t>0300013VRN</t>
  </si>
  <si>
    <t>Zajištění kolaudace stavby vč. inženýrské činnosti</t>
  </si>
  <si>
    <t>Celkem:</t>
  </si>
  <si>
    <t>Poznámka:</t>
  </si>
  <si>
    <t>Popis rozpočtu - "OPRAVA ŘADOVÝCH GARÁŽÍ, Areál technických služeb Kroměříž, Kaplanova 2959, 767 01 Kroměříž.
Rozpočet je zpracován z dokumentace pro provádění stavby.
a) veškeré položky, přípomoce, dopravu, montáž, zpevněné montážní plochy, atd... zahrnout do jednotlivých jednotkových cen.
b) součástí prací jsou veškeré zkoušky, potřebná měření, inspekce, uvedení zařízení do provozu, zaškolení obsluhy, provozní řády, manuály a revize v českém jazyce. Za komplexní vyzkoušení se považuje bezporuchový provoz po dobu minimálně 96 hod.
c) součástí dodávky je zpracování veškeré dílenské dokumentace a dokumentace skutečného provedení.
d) součástí dodávky je kompletní dokladová část díla nutná k získání kolaudačního souhlasu stavby.
e) v rozsahu prací zhotovitele jsou rovněž jakékoliv prvky, zařízení, práce a pomocné materiály, neuvedené v tomto soupisu výkonů, které jsou ale nezbytně nutné k dodání, instalaci, dokončení a provozování díla, včetně ztratného a prořezů.
f) součástí dodávky jsou veškerá geodetická měření jako například vytyčení konstrukcí, kontrolní měření, zaměření skutečného stavu a pod.
g) součástí dodávky jsou i náklady na případná opatření související s ochranou stávajících sítí, komunikací či staveb.
h) součástí jednotkových cen jsou i vícenáklady související s výstavbou v zimním období, průběžný úklid staveniště a přilehlých komunikací, likvidaci odpadů, dočasná dopravní omezení atd.
k) pokud se v dokumentaci vyskytují obchodní názvy, jedná se pouze o vymezení minimálních požadovaných standardů výrobku, technologie či materiálu a zadavatel připouští použití i jiného, kvalitativně či technologicky obdobného řešení, které spňuje minimální parametry uvedené ve specifikaci projektové dokumentace.
Nedílnou součástí výkazu výměr (slepého rozpočtu) je projektová dokumentace!!
Zpracovatel nabídky je povinen prověřit specifikace a výměry uvedené ve výkazu výměr.
V případě zjištěných rozdílů má na tyto rozdíly upozornit ve lhůtě pro podání nabídek prostřednictvím žádosti o dodatečné informace k zadávacím podmínkám. Uchazeč vyplní všechny položky soupisu prací.</t>
  </si>
  <si>
    <t>Slepý stavební rozpočet - rekapitulace</t>
  </si>
  <si>
    <t>Objekt</t>
  </si>
  <si>
    <t>Náklady (Kč) - dodávka</t>
  </si>
  <si>
    <t>Náklady (Kč) - Montáž</t>
  </si>
  <si>
    <t>Náklady (Kč) - celkem</t>
  </si>
  <si>
    <t>F</t>
  </si>
  <si>
    <t>T</t>
  </si>
  <si>
    <t>Krycí list slepého rozpočtu</t>
  </si>
  <si>
    <t>IČO/DIČ:</t>
  </si>
  <si>
    <t>26276437/26276437</t>
  </si>
  <si>
    <t>06722865/CZ06722865</t>
  </si>
  <si>
    <t>Položek:</t>
  </si>
  <si>
    <t>Datum:</t>
  </si>
  <si>
    <t>Rozpočtové náklady v Kč</t>
  </si>
  <si>
    <t>A</t>
  </si>
  <si>
    <t>Základní rozpočtové náklady</t>
  </si>
  <si>
    <t>B</t>
  </si>
  <si>
    <t>Doplňkové náklady</t>
  </si>
  <si>
    <t>C</t>
  </si>
  <si>
    <t>Náklady na umístění stavby (NUS)</t>
  </si>
  <si>
    <t>HSV</t>
  </si>
  <si>
    <t>Dodávky</t>
  </si>
  <si>
    <t>Práce přesčas</t>
  </si>
  <si>
    <t>Zařízení staveniště</t>
  </si>
  <si>
    <t>Bez pevné podl.</t>
  </si>
  <si>
    <t>Mimostav. doprava</t>
  </si>
  <si>
    <t>PSV</t>
  </si>
  <si>
    <t>Kulturní památka</t>
  </si>
  <si>
    <t>Územní vlivy</t>
  </si>
  <si>
    <t>Provozní vlivy</t>
  </si>
  <si>
    <t>"M"</t>
  </si>
  <si>
    <t>NUS z rozpočtu</t>
  </si>
  <si>
    <t>Ostatní materiál</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</si>
  <si>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</si>
  <si>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</si>
  <si>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</si>
  <si>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</si>
  <si>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</si>
  <si>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</si>
  <si>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</si>
  <si>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</si>
  <si>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</si>
  <si>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</si>
  <si>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</si>
  <si>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</si>
  <si>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</si>
  <si>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</si>
  <si>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</si>
  <si>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</si>
  <si>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</si>
  <si>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</si>
  <si>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</si>
  <si>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 xml:space="preserve">Popis rozpočtu - "OPRAVA ŘADOVÝCH GARÁŽÍ, Areál technických služeb Kroměříž, Kaplanova 2959, 767 01 Kroměříž.
Rozpočet je zpracován z dokumentace pro provádění stavby.
a) veškeré položky, přípomoce, dopravu, montáž, zpevněné montážní plochy, atd... zahrnout do jednotlivých jednotkových cen.
b) součástí prací jsou veškeré zkoušky, potřebná měření, inspekce, uvedení zařízení do provozu, zaškolení obsluhy, provozní řády, manuály a revize v českém jazyce. Za komplexní vyzkoušení se považuje bezporuchový provoz po dobu minimálně 96 hod.
c) součástí dodávky je zpracování veškeré dílenské dokumentace a dokumentace skutečného provedení.
d) součástí dodávky je kompletní dokladová část díla nutná k získání kolaudačního souhlasu stavby.
e) v rozsahu prací zhotovitele jsou rovněž jakékoliv prvky, zařízení, práce a pomocné materiály, neuvedené v tomto soupisu výkonů, které jsou ale nezbytně nutné k dodání, instalaci, dokončení a provozování díla, včetně ztratného a prořezů.
f) součástí dodávky jsou veškerá geodetická měření jako například vytyčení konstrukcí, kontrolní měření, zaměření skutečného stavu a pod.
g) součástí dodávky jsou i náklady na případná opatření související s ochranou stávajících sítí, komunikací či staveb.
h) součástí jednotkových cen jsou i vícenáklady související s výstavbou v zimním období, průběžný úklid staveniště a přilehlých komunikací, likvidaci odpadů, dočasná dopravní omezení atd.
k) pokud se v dokumentaci vyskytují obchodní názvy, jedná se pouze o vymezení minimálních požadovaných standardů výrobku, technologie či materiálu a zadavatel připouští použití i jiného, kvalitativně či technologicky obdobného řešení, které spňuje minimální parametry uvedené ve specifikaci projektové dokumentace.
Nedílnou součástí výkazu výměr (slepého rozpočtu) je projektová dokumentace!!
Zpracovatel nabídky je povinen prověřit specifikace a výměry uvedené ve výkazu výměr.
V případě zjištěných rozdílů má na tyto rozdíly upozornit ve lhůtě pro podání nabídek prostřednictvím žádosti o dodatečné informace k zadávacím podmínkám. Uchazeč vyplní všechny položky soupisu prací.
</t>
  </si>
  <si>
    <t>Vedlejší rozpočtové náklady VRN</t>
  </si>
  <si>
    <t>Doplňkové náklady DN</t>
  </si>
  <si>
    <t>Kč</t>
  </si>
  <si>
    <t>%</t>
  </si>
  <si>
    <t>Základna</t>
  </si>
  <si>
    <t>Celkem DN</t>
  </si>
  <si>
    <t>Celkem NUS</t>
  </si>
  <si>
    <t>Celkem VRN</t>
  </si>
  <si>
    <t>Vedlejší a ostatní rozpočtové náklady VORN</t>
  </si>
  <si>
    <t>Ostatní rozpočtové náklady (VORN)</t>
  </si>
  <si>
    <t>Průzkumy, geodetické a projektové práce</t>
  </si>
  <si>
    <t>Příprava staveniště</t>
  </si>
  <si>
    <t>Inženýrské činnosti</t>
  </si>
  <si>
    <t>Finanční náklady</t>
  </si>
  <si>
    <t>Náklady na pracovníky</t>
  </si>
  <si>
    <t>Ostatní náklady</t>
  </si>
  <si>
    <t>Vlastní VORN</t>
  </si>
  <si>
    <t>Celkem VORN</t>
  </si>
  <si>
    <t>GARANT projekt s.r.o., Staňkova 103/18, 602 00 Brno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</si>
</sst>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00"/>
      <name val="Arial"/>
      <charset val="238"/>
    </font>
    <font>
      <sz val="11"/>
      <color rgb="FF000000"/>
      <name val="Arial"/>
      <charset val="1"/>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
      <b/>
      <sz val="10"/>
      <color rgb="FF000000"/>
      <name val="Arial"/>
      <family val="2"/>
      <charset val="238"/>
    </font>
  </fonts>
  <fills count="3">
    <fill>
      <patternFill patternType="none"/>
    </fill>
    <fill>
      <patternFill patternType="gray125"/>
    </fill>
    <fill>
      <patternFill patternType="solid">
        <fgColor rgb="FFC0C0C0"/>
        <bgColor rgb="FFC0C0C0"/>
      </patternFill>
    </fill>
  </fills>
  <borders count="7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168">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2" borderId="28" xfId="0" applyFont="1" applyFill="1" applyBorder="1" applyAlignment="1">
      <alignment horizontal="left" vertical="center"/>
    </xf>
    <xf numFmtId="0" fontId="2" fillId="2" borderId="29" xfId="0" applyFont="1" applyFill="1" applyBorder="1" applyAlignment="1">
      <alignment horizontal="left" vertical="center"/>
    </xf>
    <xf numFmtId="0" fontId="3" fillId="2" borderId="29" xfId="0" applyFont="1" applyFill="1" applyBorder="1" applyAlignment="1">
      <alignment horizontal="left" vertical="center"/>
    </xf>
    <xf numFmtId="4" fontId="2" fillId="2" borderId="29" xfId="0" applyNumberFormat="1" applyFont="1" applyFill="1" applyBorder="1" applyAlignment="1">
      <alignment horizontal="right" vertical="center"/>
    </xf>
    <xf numFmtId="0" fontId="2" fillId="2" borderId="30" xfId="0" applyFont="1" applyFill="1" applyBorder="1" applyAlignment="1">
      <alignment horizontal="righ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6" xfId="0" applyFont="1" applyFill="1" applyBorder="1" applyAlignment="1">
      <alignment horizontal="right" vertical="center"/>
    </xf>
    <xf numFmtId="4" fontId="3" fillId="0" borderId="0" xfId="0" applyNumberFormat="1" applyFont="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left" vertical="center"/>
    </xf>
    <xf numFmtId="4" fontId="4" fillId="0" borderId="0" xfId="0" applyNumberFormat="1" applyFont="1" applyAlignment="1">
      <alignment horizontal="right" vertical="center"/>
    </xf>
    <xf numFmtId="0" fontId="0" fillId="0" borderId="6" xfId="0" applyBorder="1"/>
    <xf numFmtId="0" fontId="5" fillId="0" borderId="5" xfId="0" applyFont="1" applyBorder="1"/>
    <xf numFmtId="0" fontId="5" fillId="0" borderId="0" xfId="0" applyFont="1"/>
    <xf numFmtId="0" fontId="5" fillId="0" borderId="6" xfId="0" applyFont="1" applyBorder="1"/>
    <xf numFmtId="0" fontId="3" fillId="0" borderId="31" xfId="0" applyFont="1" applyBorder="1" applyAlignment="1">
      <alignment horizontal="left" vertical="center"/>
    </xf>
    <xf numFmtId="0" fontId="3" fillId="0" borderId="32" xfId="0" applyFont="1" applyBorder="1" applyAlignment="1">
      <alignment horizontal="left" vertical="center"/>
    </xf>
    <xf numFmtId="4" fontId="3" fillId="0" borderId="32" xfId="0" applyNumberFormat="1" applyFont="1" applyBorder="1" applyAlignment="1">
      <alignment horizontal="right" vertical="center"/>
    </xf>
    <xf numFmtId="0" fontId="3" fillId="0" borderId="33" xfId="0" applyFont="1" applyBorder="1" applyAlignment="1">
      <alignment horizontal="right" vertical="center"/>
    </xf>
    <xf numFmtId="4" fontId="2" fillId="0" borderId="34" xfId="0" applyNumberFormat="1" applyFont="1" applyBorder="1" applyAlignment="1">
      <alignment horizontal="right" vertical="center"/>
    </xf>
    <xf numFmtId="0" fontId="6" fillId="0" borderId="0" xfId="0" applyFont="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4" fontId="2" fillId="0" borderId="0" xfId="0" applyNumberFormat="1" applyFont="1" applyAlignment="1">
      <alignment horizontal="right" vertical="center"/>
    </xf>
    <xf numFmtId="0" fontId="8" fillId="2" borderId="41" xfId="0" applyFont="1" applyFill="1" applyBorder="1" applyAlignment="1">
      <alignment horizontal="center" vertical="center"/>
    </xf>
    <xf numFmtId="0" fontId="8" fillId="2" borderId="44" xfId="0" applyFont="1" applyFill="1" applyBorder="1" applyAlignment="1">
      <alignment horizontal="center" vertical="center"/>
    </xf>
    <xf numFmtId="0" fontId="10" fillId="0" borderId="45" xfId="0" applyFont="1" applyBorder="1" applyAlignment="1">
      <alignment horizontal="left" vertical="center"/>
    </xf>
    <xf numFmtId="0" fontId="11" fillId="0" borderId="46" xfId="0" applyFont="1" applyBorder="1" applyAlignment="1">
      <alignment horizontal="left" vertical="center"/>
    </xf>
    <xf numFmtId="4" fontId="11" fillId="0" borderId="46" xfId="0" applyNumberFormat="1" applyFont="1" applyBorder="1" applyAlignment="1">
      <alignment horizontal="right" vertical="center"/>
    </xf>
    <xf numFmtId="0" fontId="11" fillId="0" borderId="46" xfId="0" applyFont="1" applyBorder="1" applyAlignment="1">
      <alignment horizontal="right" vertical="center"/>
    </xf>
    <xf numFmtId="0" fontId="10" fillId="0" borderId="49" xfId="0" applyFont="1" applyBorder="1" applyAlignment="1">
      <alignment horizontal="left" vertical="center"/>
    </xf>
    <xf numFmtId="4" fontId="11" fillId="0" borderId="53" xfId="0" applyNumberFormat="1" applyFont="1" applyBorder="1" applyAlignment="1">
      <alignment horizontal="right" vertical="center"/>
    </xf>
    <xf numFmtId="0" fontId="11" fillId="0" borderId="53" xfId="0" applyFont="1" applyBorder="1" applyAlignment="1">
      <alignment horizontal="right" vertical="center"/>
    </xf>
    <xf numFmtId="4" fontId="11" fillId="0" borderId="44" xfId="0" applyNumberFormat="1" applyFont="1" applyBorder="1" applyAlignment="1">
      <alignment horizontal="right" vertical="center"/>
    </xf>
    <xf numFmtId="4" fontId="11" fillId="0" borderId="25" xfId="0" applyNumberFormat="1" applyFont="1" applyBorder="1" applyAlignment="1">
      <alignment horizontal="right" vertical="center"/>
    </xf>
    <xf numFmtId="4" fontId="10" fillId="2" borderId="43" xfId="0" applyNumberFormat="1" applyFont="1" applyFill="1" applyBorder="1" applyAlignment="1">
      <alignment horizontal="right" vertical="center"/>
    </xf>
    <xf numFmtId="4" fontId="10" fillId="2" borderId="48" xfId="0" applyNumberFormat="1" applyFont="1" applyFill="1" applyBorder="1" applyAlignment="1">
      <alignment horizontal="right" vertical="center"/>
    </xf>
    <xf numFmtId="0" fontId="6" fillId="0" borderId="29" xfId="0" applyFont="1" applyBorder="1" applyAlignment="1">
      <alignment horizontal="left" vertical="center"/>
    </xf>
    <xf numFmtId="0" fontId="2" fillId="0" borderId="69" xfId="0" applyFont="1" applyBorder="1" applyAlignment="1">
      <alignment horizontal="right" vertical="center"/>
    </xf>
    <xf numFmtId="4" fontId="3" fillId="0" borderId="46" xfId="0" applyNumberFormat="1" applyFont="1" applyBorder="1" applyAlignment="1">
      <alignment horizontal="right" vertical="center"/>
    </xf>
    <xf numFmtId="0" fontId="3" fillId="0" borderId="46" xfId="0" applyFont="1" applyBorder="1" applyAlignment="1">
      <alignment horizontal="left" vertical="center"/>
    </xf>
    <xf numFmtId="4" fontId="3" fillId="0" borderId="73" xfId="0" applyNumberFormat="1" applyFont="1" applyBorder="1" applyAlignment="1">
      <alignment horizontal="right" vertical="center"/>
    </xf>
    <xf numFmtId="0" fontId="3" fillId="0" borderId="73" xfId="0" applyFont="1" applyBorder="1" applyAlignment="1">
      <alignment horizontal="left" vertical="center"/>
    </xf>
    <xf numFmtId="0" fontId="2" fillId="0" borderId="77" xfId="0" applyFont="1" applyBorder="1" applyAlignment="1">
      <alignment horizontal="left" vertical="center"/>
    </xf>
    <xf numFmtId="0" fontId="2" fillId="0" borderId="77" xfId="0" applyFont="1" applyBorder="1" applyAlignment="1">
      <alignment horizontal="right" vertical="center"/>
    </xf>
    <xf numFmtId="4" fontId="2" fillId="0" borderId="77" xfId="0" applyNumberFormat="1" applyFont="1" applyBorder="1" applyAlignment="1">
      <alignment horizontal="righ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4" fontId="12" fillId="0" borderId="29" xfId="0" applyNumberFormat="1" applyFont="1" applyBorder="1" applyAlignment="1">
      <alignment horizontal="right" vertical="center"/>
    </xf>
    <xf numFmtId="0" fontId="12" fillId="0" borderId="5" xfId="0" applyFont="1" applyBorder="1" applyAlignment="1">
      <alignment horizontal="left" vertical="center"/>
    </xf>
    <xf numFmtId="0" fontId="12" fillId="0" borderId="0" xfId="0" applyFont="1" applyAlignment="1">
      <alignment horizontal="left" vertical="center"/>
    </xf>
    <xf numFmtId="4" fontId="12" fillId="0" borderId="0" xfId="0" applyNumberFormat="1" applyFont="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1" fontId="3" fillId="0" borderId="6" xfId="0" applyNumberFormat="1"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32" xfId="0" applyFont="1" applyBorder="1" applyAlignment="1">
      <alignment horizontal="left" vertical="center"/>
    </xf>
    <xf numFmtId="0" fontId="3" fillId="0" borderId="6" xfId="0" applyFont="1" applyBorder="1" applyAlignment="1">
      <alignment horizontal="left" vertical="center" wrapText="1"/>
    </xf>
    <xf numFmtId="0" fontId="3" fillId="0" borderId="33" xfId="0" applyFont="1" applyBorder="1" applyAlignment="1">
      <alignment horizontal="left" vertical="center"/>
    </xf>
    <xf numFmtId="0" fontId="7" fillId="0" borderId="40" xfId="0" applyFont="1" applyBorder="1" applyAlignment="1">
      <alignment horizontal="center"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3" fillId="0" borderId="31" xfId="0" applyFont="1" applyBorder="1" applyAlignment="1">
      <alignment horizontal="left" vertical="center"/>
    </xf>
    <xf numFmtId="0" fontId="10" fillId="0" borderId="50" xfId="0" applyFont="1" applyBorder="1" applyAlignment="1">
      <alignment horizontal="left" vertical="center"/>
    </xf>
    <xf numFmtId="0" fontId="10" fillId="0" borderId="48"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55" xfId="0" applyFont="1" applyBorder="1" applyAlignment="1">
      <alignment horizontal="left" vertical="center"/>
    </xf>
    <xf numFmtId="0" fontId="10" fillId="0" borderId="43"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0" borderId="54" xfId="0" applyFont="1" applyBorder="1" applyAlignment="1">
      <alignment horizontal="left" vertical="center"/>
    </xf>
    <xf numFmtId="0" fontId="11" fillId="0" borderId="52" xfId="0" applyFont="1" applyBorder="1" applyAlignment="1">
      <alignment horizontal="left" vertical="center"/>
    </xf>
    <xf numFmtId="0" fontId="10" fillId="0" borderId="42" xfId="0" applyFont="1" applyBorder="1" applyAlignment="1">
      <alignment horizontal="left" vertical="center"/>
    </xf>
    <xf numFmtId="0" fontId="10" fillId="0" borderId="47" xfId="0" applyFont="1" applyBorder="1" applyAlignment="1">
      <alignment horizontal="left" vertical="center"/>
    </xf>
    <xf numFmtId="0" fontId="10" fillId="2" borderId="55" xfId="0" applyFont="1" applyFill="1" applyBorder="1" applyAlignment="1">
      <alignment horizontal="left" vertical="center"/>
    </xf>
    <xf numFmtId="0" fontId="10" fillId="2" borderId="56" xfId="0" applyFont="1" applyFill="1" applyBorder="1" applyAlignment="1">
      <alignment horizontal="left" vertical="center"/>
    </xf>
    <xf numFmtId="0" fontId="10" fillId="2" borderId="50" xfId="0" applyFont="1" applyFill="1" applyBorder="1" applyAlignment="1">
      <alignment horizontal="left" vertical="center"/>
    </xf>
    <xf numFmtId="0" fontId="10" fillId="2" borderId="57" xfId="0" applyFont="1" applyFill="1" applyBorder="1" applyAlignment="1">
      <alignment horizontal="left" vertical="center"/>
    </xf>
    <xf numFmtId="0" fontId="10" fillId="2" borderId="42" xfId="0" applyFont="1" applyFill="1" applyBorder="1" applyAlignment="1">
      <alignment horizontal="left" vertical="center"/>
    </xf>
    <xf numFmtId="0" fontId="10" fillId="2" borderId="47" xfId="0" applyFont="1" applyFill="1" applyBorder="1" applyAlignment="1">
      <alignment horizontal="left" vertical="center"/>
    </xf>
    <xf numFmtId="0" fontId="11" fillId="0" borderId="61" xfId="0" applyFont="1" applyBorder="1" applyAlignment="1">
      <alignment horizontal="left" vertical="center"/>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64" xfId="0" applyFont="1" applyBorder="1" applyAlignment="1">
      <alignment horizontal="left" vertical="center"/>
    </xf>
    <xf numFmtId="0" fontId="11" fillId="0" borderId="0" xfId="0" applyFont="1" applyAlignment="1">
      <alignment horizontal="left" vertical="center"/>
    </xf>
    <xf numFmtId="0" fontId="11" fillId="0" borderId="63" xfId="0" applyFont="1" applyBorder="1" applyAlignment="1">
      <alignment horizontal="left" vertical="center"/>
    </xf>
    <xf numFmtId="0" fontId="11" fillId="0" borderId="68"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58" xfId="0" applyFont="1" applyBorder="1" applyAlignment="1">
      <alignment horizontal="left" vertical="center"/>
    </xf>
    <xf numFmtId="0" fontId="11" fillId="0" borderId="62" xfId="0" applyFont="1" applyBorder="1" applyAlignment="1">
      <alignment horizontal="left" vertical="center"/>
    </xf>
    <xf numFmtId="0" fontId="11" fillId="0" borderId="6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wrapText="1"/>
    </xf>
    <xf numFmtId="0" fontId="3" fillId="0" borderId="9" xfId="0" applyFont="1" applyBorder="1" applyAlignment="1">
      <alignment horizontal="left" vertical="center"/>
    </xf>
    <xf numFmtId="0" fontId="12" fillId="0" borderId="0" xfId="0" applyFont="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34" xfId="0" applyFont="1" applyBorder="1" applyAlignment="1">
      <alignment horizontal="left" vertical="center"/>
    </xf>
    <xf numFmtId="0" fontId="3" fillId="0" borderId="32" xfId="0" applyFont="1" applyBorder="1" applyAlignment="1">
      <alignment horizontal="left" vertical="center" wrapText="1"/>
    </xf>
    <xf numFmtId="0" fontId="10"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50" xfId="0" applyFont="1" applyBorder="1" applyAlignment="1">
      <alignment horizontal="left" vertical="center"/>
    </xf>
    <xf numFmtId="0" fontId="3" fillId="0" borderId="57" xfId="0" applyFont="1" applyBorder="1" applyAlignment="1">
      <alignment horizontal="left" vertical="center"/>
    </xf>
    <xf numFmtId="0" fontId="3" fillId="0" borderId="48"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76" xfId="0" applyFont="1" applyBorder="1" applyAlignment="1">
      <alignment horizontal="left" vertical="center"/>
    </xf>
    <xf numFmtId="0" fontId="10" fillId="0" borderId="74" xfId="0" applyFont="1" applyBorder="1" applyAlignment="1">
      <alignment horizontal="left" vertical="center"/>
    </xf>
    <xf numFmtId="0" fontId="10" fillId="0" borderId="75" xfId="0" applyFont="1" applyBorder="1" applyAlignment="1">
      <alignment horizontal="left" vertical="center"/>
    </xf>
    <xf numFmtId="0" fontId="10" fillId="0" borderId="76" xfId="0" applyFont="1" applyBorder="1" applyAlignment="1">
      <alignment horizontal="left" vertical="center"/>
    </xf>
    <xf numFmtId="4" fontId="10" fillId="0" borderId="78" xfId="0" applyNumberFormat="1" applyFont="1" applyBorder="1" applyAlignment="1">
      <alignment horizontal="right" vertical="center"/>
    </xf>
    <xf numFmtId="0" fontId="10" fillId="0" borderId="75" xfId="0" applyFont="1" applyBorder="1" applyAlignment="1">
      <alignment horizontal="right" vertical="center"/>
    </xf>
    <xf numFmtId="0" fontId="10" fillId="0" borderId="76" xfId="0"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topLeftCell="A4" workbookViewId="0">
      <selection activeCell="F4" sqref="F4:G5"/>
    </sheetView>
  </sheetViews>
  <sheetFormatPr defaultColWidth="12.109375" defaultRowHeight="15" customHeight="1" x14ac:dyDescent="0.3"/>
  <cols>
    <col min="1" max="1" width="9.109375" customWidth="1"/>
    <col min="2" max="2" width="12.88671875" customWidth="1"/>
    <col min="3" max="3" width="27.109375" customWidth="1"/>
    <col min="4" max="4" width="10" customWidth="1"/>
    <col min="5" max="5" width="14" customWidth="1"/>
    <col min="6" max="6" width="27.109375" customWidth="1"/>
    <col min="7" max="7" width="9.109375" customWidth="1"/>
    <col min="8" max="8" width="12.88671875" customWidth="1"/>
    <col min="9" max="9" width="27.109375" customWidth="1"/>
  </cols>
  <sheetData>
    <row r="1" spans="1:9" ht="54.75" customHeight="1" x14ac:dyDescent="0.3">
      <c r="A1" s="79" t="s">
        <v>1321</v>
      </c>
      <c r="B1" s="80"/>
      <c r="C1" s="80"/>
      <c r="D1" s="80"/>
      <c r="E1" s="80"/>
      <c r="F1" s="80"/>
      <c r="G1" s="80"/>
      <c r="H1" s="80"/>
      <c r="I1" s="80"/>
    </row>
    <row r="2" spans="1:9" ht="14.4" x14ac:dyDescent="0.3">
      <c r="A2" s="81" t="s">
        <v>1</v>
      </c>
      <c r="B2" s="82"/>
      <c r="C2" s="91" t="str">
        <f>'Stavební rozpočet'!C2</f>
        <v>"OPRAVA ŘADOVÝCH GARÁŽÍ, Areál technických služeb Kroměříž"</v>
      </c>
      <c r="D2" s="92"/>
      <c r="E2" s="86" t="s">
        <v>5</v>
      </c>
      <c r="F2" s="86" t="str">
        <f>'Stavební rozpočet'!I2</f>
        <v>Kroměřížské technické služby, s.r.o., Kaplanova 29</v>
      </c>
      <c r="G2" s="82"/>
      <c r="H2" s="86" t="s">
        <v>1322</v>
      </c>
      <c r="I2" s="88" t="s">
        <v>1323</v>
      </c>
    </row>
    <row r="3" spans="1:9" ht="15" customHeight="1" x14ac:dyDescent="0.3">
      <c r="A3" s="83"/>
      <c r="B3" s="84"/>
      <c r="C3" s="93"/>
      <c r="D3" s="93"/>
      <c r="E3" s="84"/>
      <c r="F3" s="84"/>
      <c r="G3" s="84"/>
      <c r="H3" s="84"/>
      <c r="I3" s="89"/>
    </row>
    <row r="4" spans="1:9" ht="14.4" x14ac:dyDescent="0.3">
      <c r="A4" s="85" t="s">
        <v>7</v>
      </c>
      <c r="B4" s="84"/>
      <c r="C4" s="87" t="str">
        <f>'Stavební rozpočet'!C4</f>
        <v>Garáže</v>
      </c>
      <c r="D4" s="84"/>
      <c r="E4" s="87" t="s">
        <v>11</v>
      </c>
      <c r="F4" s="87" t="str">
        <f>'Stavební rozpočet'!I4</f>
        <v>GARANT projekt s.r.o., Staňkova 103/18, 602 00 Brno</v>
      </c>
      <c r="G4" s="84"/>
      <c r="H4" s="87" t="s">
        <v>1322</v>
      </c>
      <c r="I4" s="89" t="s">
        <v>1324</v>
      </c>
    </row>
    <row r="5" spans="1:9" ht="15" customHeight="1" x14ac:dyDescent="0.3">
      <c r="A5" s="83"/>
      <c r="B5" s="84"/>
      <c r="C5" s="84"/>
      <c r="D5" s="84"/>
      <c r="E5" s="84"/>
      <c r="F5" s="84"/>
      <c r="G5" s="84"/>
      <c r="H5" s="84"/>
      <c r="I5" s="89"/>
    </row>
    <row r="6" spans="1:9" ht="14.4" x14ac:dyDescent="0.3">
      <c r="A6" s="85" t="s">
        <v>12</v>
      </c>
      <c r="B6" s="84"/>
      <c r="C6" s="87" t="str">
        <f>'Stavební rozpočet'!C6</f>
        <v>Kaplanova 2959, 767 01 Kroměříž</v>
      </c>
      <c r="D6" s="84"/>
      <c r="E6" s="87" t="s">
        <v>15</v>
      </c>
      <c r="F6" s="87" t="str">
        <f>'Stavební rozpočet'!I6</f>
        <v>dle výběrového řízení</v>
      </c>
      <c r="G6" s="84"/>
      <c r="H6" s="87" t="s">
        <v>1322</v>
      </c>
      <c r="I6" s="89" t="s">
        <v>51</v>
      </c>
    </row>
    <row r="7" spans="1:9" ht="15" customHeight="1" x14ac:dyDescent="0.3">
      <c r="A7" s="83"/>
      <c r="B7" s="84"/>
      <c r="C7" s="84"/>
      <c r="D7" s="84"/>
      <c r="E7" s="84"/>
      <c r="F7" s="84"/>
      <c r="G7" s="84"/>
      <c r="H7" s="84"/>
      <c r="I7" s="89"/>
    </row>
    <row r="8" spans="1:9" ht="14.4" x14ac:dyDescent="0.3">
      <c r="A8" s="85" t="s">
        <v>9</v>
      </c>
      <c r="B8" s="84"/>
      <c r="C8" s="87" t="str">
        <f>'Stavební rozpočet'!G4</f>
        <v>01.05.2025</v>
      </c>
      <c r="D8" s="84"/>
      <c r="E8" s="87" t="s">
        <v>14</v>
      </c>
      <c r="F8" s="87" t="str">
        <f>'Stavební rozpočet'!G6</f>
        <v xml:space="preserve"> </v>
      </c>
      <c r="G8" s="84"/>
      <c r="H8" s="84" t="s">
        <v>1325</v>
      </c>
      <c r="I8" s="90">
        <v>274</v>
      </c>
    </row>
    <row r="9" spans="1:9" ht="14.4" x14ac:dyDescent="0.3">
      <c r="A9" s="83"/>
      <c r="B9" s="84"/>
      <c r="C9" s="84"/>
      <c r="D9" s="84"/>
      <c r="E9" s="84"/>
      <c r="F9" s="84"/>
      <c r="G9" s="84"/>
      <c r="H9" s="84"/>
      <c r="I9" s="89"/>
    </row>
    <row r="10" spans="1:9" ht="14.4" x14ac:dyDescent="0.3">
      <c r="A10" s="85" t="s">
        <v>17</v>
      </c>
      <c r="B10" s="84"/>
      <c r="C10" s="87" t="str">
        <f>'Stavební rozpočet'!C8</f>
        <v xml:space="preserve"> </v>
      </c>
      <c r="D10" s="84"/>
      <c r="E10" s="87" t="s">
        <v>20</v>
      </c>
      <c r="F10" s="87" t="str">
        <f>'Stavební rozpočet'!I8</f>
        <v>GARANT projekt s.r.o.</v>
      </c>
      <c r="G10" s="84"/>
      <c r="H10" s="84" t="s">
        <v>1326</v>
      </c>
      <c r="I10" s="95" t="str">
        <f>'Stavební rozpočet'!G8</f>
        <v>01.10.2024</v>
      </c>
    </row>
    <row r="11" spans="1:9" ht="14.4" x14ac:dyDescent="0.3">
      <c r="A11" s="100"/>
      <c r="B11" s="94"/>
      <c r="C11" s="94"/>
      <c r="D11" s="94"/>
      <c r="E11" s="94"/>
      <c r="F11" s="94"/>
      <c r="G11" s="94"/>
      <c r="H11" s="94"/>
      <c r="I11" s="96"/>
    </row>
    <row r="12" spans="1:9" ht="22.8" x14ac:dyDescent="0.3">
      <c r="A12" s="97" t="s">
        <v>1327</v>
      </c>
      <c r="B12" s="97"/>
      <c r="C12" s="97"/>
      <c r="D12" s="97"/>
      <c r="E12" s="97"/>
      <c r="F12" s="97"/>
      <c r="G12" s="97"/>
      <c r="H12" s="97"/>
      <c r="I12" s="97"/>
    </row>
    <row r="13" spans="1:9" ht="26.25" customHeight="1" x14ac:dyDescent="0.3">
      <c r="A13" s="51" t="s">
        <v>1328</v>
      </c>
      <c r="B13" s="98" t="s">
        <v>1329</v>
      </c>
      <c r="C13" s="99"/>
      <c r="D13" s="52" t="s">
        <v>1330</v>
      </c>
      <c r="E13" s="98" t="s">
        <v>1331</v>
      </c>
      <c r="F13" s="99"/>
      <c r="G13" s="52" t="s">
        <v>1332</v>
      </c>
      <c r="H13" s="98" t="s">
        <v>1333</v>
      </c>
      <c r="I13" s="99"/>
    </row>
    <row r="14" spans="1:9" ht="15.6" x14ac:dyDescent="0.3">
      <c r="A14" s="53" t="s">
        <v>1334</v>
      </c>
      <c r="B14" s="54" t="s">
        <v>1335</v>
      </c>
      <c r="C14" s="55">
        <f>SUM('Stavební rozpočet'!AB12:AB722)</f>
        <v>0</v>
      </c>
      <c r="D14" s="107" t="s">
        <v>1336</v>
      </c>
      <c r="E14" s="108"/>
      <c r="F14" s="55">
        <f>VORN!I15</f>
        <v>0</v>
      </c>
      <c r="G14" s="107" t="s">
        <v>1337</v>
      </c>
      <c r="H14" s="108"/>
      <c r="I14" s="56">
        <f>VORN!I21</f>
        <v>0</v>
      </c>
    </row>
    <row r="15" spans="1:9" ht="15.6" x14ac:dyDescent="0.3">
      <c r="A15" s="57" t="s">
        <v>51</v>
      </c>
      <c r="B15" s="54" t="s">
        <v>36</v>
      </c>
      <c r="C15" s="55">
        <f>SUM('Stavební rozpočet'!AC12:AC722)</f>
        <v>0</v>
      </c>
      <c r="D15" s="107" t="s">
        <v>1338</v>
      </c>
      <c r="E15" s="108"/>
      <c r="F15" s="55">
        <f>VORN!I16</f>
        <v>0</v>
      </c>
      <c r="G15" s="107" t="s">
        <v>1339</v>
      </c>
      <c r="H15" s="108"/>
      <c r="I15" s="56">
        <f>VORN!I22</f>
        <v>0</v>
      </c>
    </row>
    <row r="16" spans="1:9" ht="15.6" x14ac:dyDescent="0.3">
      <c r="A16" s="53" t="s">
        <v>1340</v>
      </c>
      <c r="B16" s="54" t="s">
        <v>1335</v>
      </c>
      <c r="C16" s="55">
        <f>SUM('Stavební rozpočet'!AD12:AD722)</f>
        <v>0</v>
      </c>
      <c r="D16" s="107" t="s">
        <v>1341</v>
      </c>
      <c r="E16" s="108"/>
      <c r="F16" s="55">
        <f>VORN!I17</f>
        <v>0</v>
      </c>
      <c r="G16" s="107" t="s">
        <v>1342</v>
      </c>
      <c r="H16" s="108"/>
      <c r="I16" s="56">
        <f>VORN!I23</f>
        <v>0</v>
      </c>
    </row>
    <row r="17" spans="1:9" ht="15.6" x14ac:dyDescent="0.3">
      <c r="A17" s="57" t="s">
        <v>51</v>
      </c>
      <c r="B17" s="54" t="s">
        <v>36</v>
      </c>
      <c r="C17" s="55">
        <f>SUM('Stavební rozpočet'!AE12:AE722)</f>
        <v>0</v>
      </c>
      <c r="D17" s="107" t="s">
        <v>51</v>
      </c>
      <c r="E17" s="108"/>
      <c r="F17" s="56" t="s">
        <v>51</v>
      </c>
      <c r="G17" s="107" t="s">
        <v>1343</v>
      </c>
      <c r="H17" s="108"/>
      <c r="I17" s="56">
        <f>VORN!I24</f>
        <v>0</v>
      </c>
    </row>
    <row r="18" spans="1:9" ht="15.6" x14ac:dyDescent="0.3">
      <c r="A18" s="53" t="s">
        <v>1344</v>
      </c>
      <c r="B18" s="54" t="s">
        <v>1335</v>
      </c>
      <c r="C18" s="55">
        <f>SUM('Stavební rozpočet'!AF12:AF722)</f>
        <v>0</v>
      </c>
      <c r="D18" s="107" t="s">
        <v>51</v>
      </c>
      <c r="E18" s="108"/>
      <c r="F18" s="56" t="s">
        <v>51</v>
      </c>
      <c r="G18" s="107" t="s">
        <v>272</v>
      </c>
      <c r="H18" s="108"/>
      <c r="I18" s="56">
        <f>VORN!I25</f>
        <v>0</v>
      </c>
    </row>
    <row r="19" spans="1:9" ht="15.6" x14ac:dyDescent="0.3">
      <c r="A19" s="57" t="s">
        <v>51</v>
      </c>
      <c r="B19" s="54" t="s">
        <v>36</v>
      </c>
      <c r="C19" s="55">
        <f>SUM('Stavební rozpočet'!AG12:AG722)</f>
        <v>0</v>
      </c>
      <c r="D19" s="107" t="s">
        <v>51</v>
      </c>
      <c r="E19" s="108"/>
      <c r="F19" s="56" t="s">
        <v>51</v>
      </c>
      <c r="G19" s="107" t="s">
        <v>1345</v>
      </c>
      <c r="H19" s="108"/>
      <c r="I19" s="56">
        <f>VORN!I26</f>
        <v>0</v>
      </c>
    </row>
    <row r="20" spans="1:9" ht="15.6" x14ac:dyDescent="0.3">
      <c r="A20" s="101" t="s">
        <v>1346</v>
      </c>
      <c r="B20" s="102"/>
      <c r="C20" s="55">
        <f>SUM('Stavební rozpočet'!AH12:AH722)</f>
        <v>0</v>
      </c>
      <c r="D20" s="107" t="s">
        <v>51</v>
      </c>
      <c r="E20" s="108"/>
      <c r="F20" s="56" t="s">
        <v>51</v>
      </c>
      <c r="G20" s="107" t="s">
        <v>51</v>
      </c>
      <c r="H20" s="108"/>
      <c r="I20" s="56" t="s">
        <v>51</v>
      </c>
    </row>
    <row r="21" spans="1:9" ht="15.6" x14ac:dyDescent="0.3">
      <c r="A21" s="103" t="s">
        <v>1347</v>
      </c>
      <c r="B21" s="104"/>
      <c r="C21" s="58">
        <f>SUM('Stavební rozpočet'!Z12:Z722)</f>
        <v>0</v>
      </c>
      <c r="D21" s="109" t="s">
        <v>51</v>
      </c>
      <c r="E21" s="110"/>
      <c r="F21" s="59" t="s">
        <v>51</v>
      </c>
      <c r="G21" s="109" t="s">
        <v>51</v>
      </c>
      <c r="H21" s="110"/>
      <c r="I21" s="59" t="s">
        <v>51</v>
      </c>
    </row>
    <row r="22" spans="1:9" ht="16.5" customHeight="1" x14ac:dyDescent="0.3">
      <c r="A22" s="105" t="s">
        <v>1348</v>
      </c>
      <c r="B22" s="106"/>
      <c r="C22" s="60">
        <f>SUM(C14:C21)</f>
        <v>0</v>
      </c>
      <c r="D22" s="111" t="s">
        <v>1349</v>
      </c>
      <c r="E22" s="106"/>
      <c r="F22" s="60">
        <f>SUM(F14:F21)</f>
        <v>0</v>
      </c>
      <c r="G22" s="111" t="s">
        <v>1350</v>
      </c>
      <c r="H22" s="106"/>
      <c r="I22" s="60">
        <f>SUM(I14:I21)</f>
        <v>0</v>
      </c>
    </row>
    <row r="23" spans="1:9" ht="15.6" x14ac:dyDescent="0.3">
      <c r="D23" s="101" t="s">
        <v>1351</v>
      </c>
      <c r="E23" s="102"/>
      <c r="F23" s="61">
        <v>0</v>
      </c>
      <c r="G23" s="112" t="s">
        <v>1352</v>
      </c>
      <c r="H23" s="102"/>
      <c r="I23" s="55">
        <v>0</v>
      </c>
    </row>
    <row r="24" spans="1:9" ht="15.6" x14ac:dyDescent="0.3">
      <c r="G24" s="101" t="s">
        <v>1353</v>
      </c>
      <c r="H24" s="102"/>
      <c r="I24" s="58">
        <f>vorn_sum</f>
        <v>0</v>
      </c>
    </row>
    <row r="25" spans="1:9" ht="15.6" x14ac:dyDescent="0.3">
      <c r="G25" s="101" t="s">
        <v>1354</v>
      </c>
      <c r="H25" s="102"/>
      <c r="I25" s="60">
        <v>0</v>
      </c>
    </row>
    <row r="27" spans="1:9" ht="15.6" x14ac:dyDescent="0.3">
      <c r="A27" s="113" t="s">
        <v>1355</v>
      </c>
      <c r="B27" s="114"/>
      <c r="C27" s="62">
        <f>SUM('Stavební rozpočet'!AJ12:AJ722)</f>
        <v>0</v>
      </c>
    </row>
    <row r="28" spans="1:9" ht="15.6" x14ac:dyDescent="0.3">
      <c r="A28" s="115" t="s">
        <v>1356</v>
      </c>
      <c r="B28" s="116"/>
      <c r="C28" s="63">
        <f>SUM('Stavební rozpočet'!AK12:AK722)</f>
        <v>0</v>
      </c>
      <c r="D28" s="117" t="s">
        <v>1357</v>
      </c>
      <c r="E28" s="114"/>
      <c r="F28" s="62">
        <f>ROUND(C28*(12/100),2)</f>
        <v>0</v>
      </c>
      <c r="G28" s="117" t="s">
        <v>1358</v>
      </c>
      <c r="H28" s="114"/>
      <c r="I28" s="62">
        <f>SUM(C27:C29)</f>
        <v>0</v>
      </c>
    </row>
    <row r="29" spans="1:9" ht="15.6" x14ac:dyDescent="0.3">
      <c r="A29" s="115" t="s">
        <v>1359</v>
      </c>
      <c r="B29" s="116"/>
      <c r="C29" s="63">
        <f>SUM('Stavební rozpočet'!AL12:AL722)</f>
        <v>0</v>
      </c>
      <c r="D29" s="118" t="s">
        <v>1360</v>
      </c>
      <c r="E29" s="116"/>
      <c r="F29" s="63">
        <f>ROUND(C29*(21/100),2)</f>
        <v>0</v>
      </c>
      <c r="G29" s="118" t="s">
        <v>1361</v>
      </c>
      <c r="H29" s="116"/>
      <c r="I29" s="63">
        <f>SUM(F28:F29)+I28</f>
        <v>0</v>
      </c>
    </row>
    <row r="31" spans="1:9" x14ac:dyDescent="0.3">
      <c r="A31" s="128" t="s">
        <v>1362</v>
      </c>
      <c r="B31" s="120"/>
      <c r="C31" s="121"/>
      <c r="D31" s="119" t="s">
        <v>1363</v>
      </c>
      <c r="E31" s="120"/>
      <c r="F31" s="121"/>
      <c r="G31" s="119" t="s">
        <v>1364</v>
      </c>
      <c r="H31" s="120"/>
      <c r="I31" s="121"/>
    </row>
    <row r="32" spans="1:9" x14ac:dyDescent="0.3">
      <c r="A32" s="129" t="s">
        <v>51</v>
      </c>
      <c r="B32" s="123"/>
      <c r="C32" s="124"/>
      <c r="D32" s="122" t="s">
        <v>51</v>
      </c>
      <c r="E32" s="123"/>
      <c r="F32" s="124"/>
      <c r="G32" s="122" t="s">
        <v>51</v>
      </c>
      <c r="H32" s="123"/>
      <c r="I32" s="124"/>
    </row>
    <row r="33" spans="1:9" x14ac:dyDescent="0.3">
      <c r="A33" s="129" t="s">
        <v>51</v>
      </c>
      <c r="B33" s="123"/>
      <c r="C33" s="124"/>
      <c r="D33" s="122" t="s">
        <v>51</v>
      </c>
      <c r="E33" s="123"/>
      <c r="F33" s="124"/>
      <c r="G33" s="122" t="s">
        <v>51</v>
      </c>
      <c r="H33" s="123"/>
      <c r="I33" s="124"/>
    </row>
    <row r="34" spans="1:9" x14ac:dyDescent="0.3">
      <c r="A34" s="129" t="s">
        <v>51</v>
      </c>
      <c r="B34" s="123"/>
      <c r="C34" s="124"/>
      <c r="D34" s="122" t="s">
        <v>51</v>
      </c>
      <c r="E34" s="123"/>
      <c r="F34" s="124"/>
      <c r="G34" s="122" t="s">
        <v>51</v>
      </c>
      <c r="H34" s="123"/>
      <c r="I34" s="124"/>
    </row>
    <row r="35" spans="1:9" x14ac:dyDescent="0.3">
      <c r="A35" s="130" t="s">
        <v>1365</v>
      </c>
      <c r="B35" s="126"/>
      <c r="C35" s="127"/>
      <c r="D35" s="125" t="s">
        <v>1365</v>
      </c>
      <c r="E35" s="126"/>
      <c r="F35" s="127"/>
      <c r="G35" s="125" t="s">
        <v>1365</v>
      </c>
      <c r="H35" s="126"/>
      <c r="I35" s="127"/>
    </row>
    <row r="36" spans="1:9" ht="14.4" x14ac:dyDescent="0.3">
      <c r="A36" s="64" t="s">
        <v>1312</v>
      </c>
    </row>
    <row r="37" spans="1:9" ht="409.6" customHeight="1" x14ac:dyDescent="0.3">
      <c r="A37" s="87" t="s">
        <v>1366</v>
      </c>
      <c r="B37" s="84"/>
      <c r="C37" s="84"/>
      <c r="D37" s="84"/>
      <c r="E37" s="84"/>
      <c r="F37" s="84"/>
      <c r="G37" s="84"/>
      <c r="H37" s="84"/>
      <c r="I37" s="84"/>
    </row>
  </sheetData>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0"/>
  <sheetViews>
    <sheetView workbookViewId="0">
      <pane ySplit="11" topLeftCell="A63" activePane="bottomLeft" state="frozen"/>
      <selection pane="bottomLeft" activeCell="C28" sqref="C28:D28"/>
    </sheetView>
  </sheetViews>
  <sheetFormatPr defaultColWidth="12.109375" defaultRowHeight="15" customHeight="1" x14ac:dyDescent="0.3"/>
  <cols>
    <col min="1" max="2" width="8.5546875" customWidth="1"/>
    <col min="3" max="3" width="71.44140625" customWidth="1"/>
    <col min="4" max="4" width="12.109375" customWidth="1"/>
    <col min="5" max="7" width="27.88671875" customWidth="1"/>
    <col min="8" max="9" width="0" hidden="1" customWidth="1"/>
  </cols>
  <sheetData>
    <row r="1" spans="1:9" ht="54.75" customHeight="1" x14ac:dyDescent="0.3">
      <c r="A1" s="80" t="s">
        <v>1314</v>
      </c>
      <c r="B1" s="80"/>
      <c r="C1" s="80"/>
      <c r="D1" s="80"/>
      <c r="E1" s="80"/>
      <c r="F1" s="80"/>
      <c r="G1" s="80"/>
    </row>
    <row r="2" spans="1:9" ht="14.4" x14ac:dyDescent="0.3">
      <c r="A2" s="81" t="s">
        <v>1</v>
      </c>
      <c r="B2" s="82"/>
      <c r="C2" s="91" t="str">
        <f>'Stavební rozpočet'!C2</f>
        <v>"OPRAVA ŘADOVÝCH GARÁŽÍ, Areál technických služeb Kroměříž"</v>
      </c>
      <c r="D2" s="82" t="s">
        <v>3</v>
      </c>
      <c r="E2" s="82" t="s">
        <v>4</v>
      </c>
      <c r="F2" s="86" t="s">
        <v>5</v>
      </c>
      <c r="G2" s="133" t="str">
        <f>'Stavební rozpočet'!I2</f>
        <v>Kroměřížské technické služby, s.r.o., Kaplanova 29</v>
      </c>
    </row>
    <row r="3" spans="1:9" ht="15" customHeight="1" x14ac:dyDescent="0.3">
      <c r="A3" s="83"/>
      <c r="B3" s="84"/>
      <c r="C3" s="93"/>
      <c r="D3" s="84"/>
      <c r="E3" s="84"/>
      <c r="F3" s="84"/>
      <c r="G3" s="89"/>
    </row>
    <row r="4" spans="1:9" ht="14.4" x14ac:dyDescent="0.3">
      <c r="A4" s="85" t="s">
        <v>7</v>
      </c>
      <c r="B4" s="84"/>
      <c r="C4" s="87" t="str">
        <f>'Stavební rozpočet'!C4</f>
        <v>Garáže</v>
      </c>
      <c r="D4" s="84" t="s">
        <v>9</v>
      </c>
      <c r="E4" s="84" t="s">
        <v>10</v>
      </c>
      <c r="F4" s="87" t="s">
        <v>11</v>
      </c>
      <c r="G4" s="95" t="str">
        <f>'Stavební rozpočet'!I4</f>
        <v>GARANT projekt s.r.o., Staňkova 103/18, 602 00 Brno</v>
      </c>
    </row>
    <row r="5" spans="1:9" ht="15" customHeight="1" x14ac:dyDescent="0.3">
      <c r="A5" s="83"/>
      <c r="B5" s="84"/>
      <c r="C5" s="84"/>
      <c r="D5" s="84"/>
      <c r="E5" s="84"/>
      <c r="F5" s="84"/>
      <c r="G5" s="89"/>
    </row>
    <row r="6" spans="1:9" ht="14.4" x14ac:dyDescent="0.3">
      <c r="A6" s="85" t="s">
        <v>12</v>
      </c>
      <c r="B6" s="84"/>
      <c r="C6" s="87" t="str">
        <f>'Stavební rozpočet'!C6</f>
        <v>Kaplanova 2959, 767 01 Kroměříž</v>
      </c>
      <c r="D6" s="84" t="s">
        <v>14</v>
      </c>
      <c r="E6" s="84" t="s">
        <v>4</v>
      </c>
      <c r="F6" s="87" t="s">
        <v>15</v>
      </c>
      <c r="G6" s="95" t="str">
        <f>'Stavební rozpočet'!I6</f>
        <v>dle výběrového řízení</v>
      </c>
    </row>
    <row r="7" spans="1:9" ht="15" customHeight="1" x14ac:dyDescent="0.3">
      <c r="A7" s="83"/>
      <c r="B7" s="84"/>
      <c r="C7" s="84"/>
      <c r="D7" s="84"/>
      <c r="E7" s="84"/>
      <c r="F7" s="84"/>
      <c r="G7" s="89"/>
    </row>
    <row r="8" spans="1:9" ht="14.4" x14ac:dyDescent="0.3">
      <c r="A8" s="85" t="s">
        <v>20</v>
      </c>
      <c r="B8" s="84"/>
      <c r="C8" s="87" t="str">
        <f>'Stavební rozpočet'!I8</f>
        <v>GARANT projekt s.r.o.</v>
      </c>
      <c r="D8" s="84" t="s">
        <v>18</v>
      </c>
      <c r="E8" s="84" t="s">
        <v>19</v>
      </c>
      <c r="F8" s="84" t="s">
        <v>18</v>
      </c>
      <c r="G8" s="95" t="str">
        <f>'Stavební rozpočet'!G8</f>
        <v>01.10.2024</v>
      </c>
    </row>
    <row r="9" spans="1:9" ht="14.4" x14ac:dyDescent="0.3">
      <c r="A9" s="131"/>
      <c r="B9" s="132"/>
      <c r="C9" s="132"/>
      <c r="D9" s="94"/>
      <c r="E9" s="132"/>
      <c r="F9" s="132"/>
      <c r="G9" s="134"/>
    </row>
    <row r="10" spans="1:9" ht="14.4" x14ac:dyDescent="0.3">
      <c r="A10" s="45" t="s">
        <v>1315</v>
      </c>
      <c r="B10" s="46" t="s">
        <v>23</v>
      </c>
      <c r="C10" s="47" t="s">
        <v>24</v>
      </c>
      <c r="E10" s="48" t="s">
        <v>1316</v>
      </c>
      <c r="F10" s="49" t="s">
        <v>1317</v>
      </c>
      <c r="G10" s="49" t="s">
        <v>1318</v>
      </c>
    </row>
    <row r="11" spans="1:9" ht="14.4" x14ac:dyDescent="0.3">
      <c r="A11" s="73" t="s">
        <v>55</v>
      </c>
      <c r="B11" s="74" t="s">
        <v>51</v>
      </c>
      <c r="C11" s="135" t="s">
        <v>52</v>
      </c>
      <c r="D11" s="135"/>
      <c r="E11" s="75">
        <f>'Stavební rozpočet'!H12</f>
        <v>0</v>
      </c>
      <c r="F11" s="75">
        <f>'Stavební rozpočet'!I12</f>
        <v>0</v>
      </c>
      <c r="G11" s="75">
        <f>'Stavební rozpočet'!J12</f>
        <v>0</v>
      </c>
      <c r="H11" s="31" t="s">
        <v>1319</v>
      </c>
      <c r="I11" s="29">
        <f t="shared" ref="I11:I42" si="0">IF(H11="F",0,G11)</f>
        <v>0</v>
      </c>
    </row>
    <row r="12" spans="1:9" ht="14.4" x14ac:dyDescent="0.3">
      <c r="A12" s="2" t="s">
        <v>55</v>
      </c>
      <c r="B12" s="3" t="s">
        <v>53</v>
      </c>
      <c r="C12" s="84" t="s">
        <v>54</v>
      </c>
      <c r="D12" s="84"/>
      <c r="E12" s="29">
        <f>'Stavební rozpočet'!H13</f>
        <v>0</v>
      </c>
      <c r="F12" s="29">
        <f>'Stavební rozpočet'!I13</f>
        <v>0</v>
      </c>
      <c r="G12" s="29">
        <f>'Stavební rozpočet'!J13</f>
        <v>0</v>
      </c>
      <c r="H12" s="31" t="s">
        <v>1320</v>
      </c>
      <c r="I12" s="29">
        <f t="shared" si="0"/>
        <v>0</v>
      </c>
    </row>
    <row r="13" spans="1:9" ht="14.4" x14ac:dyDescent="0.3">
      <c r="A13" s="2" t="s">
        <v>55</v>
      </c>
      <c r="B13" s="3" t="s">
        <v>106</v>
      </c>
      <c r="C13" s="84" t="s">
        <v>107</v>
      </c>
      <c r="D13" s="84"/>
      <c r="E13" s="29">
        <f>'Stavební rozpočet'!H40</f>
        <v>0</v>
      </c>
      <c r="F13" s="29">
        <f>'Stavební rozpočet'!I40</f>
        <v>0</v>
      </c>
      <c r="G13" s="29">
        <f>'Stavební rozpočet'!J40</f>
        <v>0</v>
      </c>
      <c r="H13" s="31" t="s">
        <v>1320</v>
      </c>
      <c r="I13" s="29">
        <f t="shared" si="0"/>
        <v>0</v>
      </c>
    </row>
    <row r="14" spans="1:9" ht="14.4" x14ac:dyDescent="0.3">
      <c r="A14" s="2" t="s">
        <v>55</v>
      </c>
      <c r="B14" s="3" t="s">
        <v>125</v>
      </c>
      <c r="C14" s="84" t="s">
        <v>126</v>
      </c>
      <c r="D14" s="84"/>
      <c r="E14" s="29">
        <f>'Stavební rozpočet'!H49</f>
        <v>0</v>
      </c>
      <c r="F14" s="29">
        <f>'Stavební rozpočet'!I49</f>
        <v>0</v>
      </c>
      <c r="G14" s="29">
        <f>'Stavební rozpočet'!J49</f>
        <v>0</v>
      </c>
      <c r="H14" s="31" t="s">
        <v>1320</v>
      </c>
      <c r="I14" s="29">
        <f t="shared" si="0"/>
        <v>0</v>
      </c>
    </row>
    <row r="15" spans="1:9" ht="14.4" x14ac:dyDescent="0.3">
      <c r="A15" s="2" t="s">
        <v>55</v>
      </c>
      <c r="B15" s="3" t="s">
        <v>135</v>
      </c>
      <c r="C15" s="84" t="s">
        <v>136</v>
      </c>
      <c r="D15" s="84"/>
      <c r="E15" s="29">
        <f>'Stavební rozpočet'!H54</f>
        <v>0</v>
      </c>
      <c r="F15" s="29">
        <f>'Stavební rozpočet'!I54</f>
        <v>0</v>
      </c>
      <c r="G15" s="29">
        <f>'Stavební rozpočet'!J54</f>
        <v>0</v>
      </c>
      <c r="H15" s="31" t="s">
        <v>1320</v>
      </c>
      <c r="I15" s="29">
        <f t="shared" si="0"/>
        <v>0</v>
      </c>
    </row>
    <row r="16" spans="1:9" ht="14.4" x14ac:dyDescent="0.3">
      <c r="A16" s="2" t="s">
        <v>55</v>
      </c>
      <c r="B16" s="3" t="s">
        <v>148</v>
      </c>
      <c r="C16" s="84" t="s">
        <v>149</v>
      </c>
      <c r="D16" s="84"/>
      <c r="E16" s="29">
        <f>'Stavební rozpočet'!H63</f>
        <v>0</v>
      </c>
      <c r="F16" s="29">
        <f>'Stavební rozpočet'!I63</f>
        <v>0</v>
      </c>
      <c r="G16" s="29">
        <f>'Stavební rozpočet'!J63</f>
        <v>0</v>
      </c>
      <c r="H16" s="31" t="s">
        <v>1320</v>
      </c>
      <c r="I16" s="29">
        <f t="shared" si="0"/>
        <v>0</v>
      </c>
    </row>
    <row r="17" spans="1:9" ht="14.4" x14ac:dyDescent="0.3">
      <c r="A17" s="2" t="s">
        <v>55</v>
      </c>
      <c r="B17" s="3" t="s">
        <v>162</v>
      </c>
      <c r="C17" s="84" t="s">
        <v>163</v>
      </c>
      <c r="D17" s="84"/>
      <c r="E17" s="29">
        <f>'Stavební rozpočet'!H70</f>
        <v>0</v>
      </c>
      <c r="F17" s="29">
        <f>'Stavební rozpočet'!I70</f>
        <v>0</v>
      </c>
      <c r="G17" s="29">
        <f>'Stavební rozpočet'!J70</f>
        <v>0</v>
      </c>
      <c r="H17" s="31" t="s">
        <v>1320</v>
      </c>
      <c r="I17" s="29">
        <f t="shared" si="0"/>
        <v>0</v>
      </c>
    </row>
    <row r="18" spans="1:9" ht="14.4" x14ac:dyDescent="0.3">
      <c r="A18" s="2" t="s">
        <v>55</v>
      </c>
      <c r="B18" s="3" t="s">
        <v>179</v>
      </c>
      <c r="C18" s="84" t="s">
        <v>180</v>
      </c>
      <c r="D18" s="84"/>
      <c r="E18" s="29">
        <f>'Stavební rozpočet'!H80</f>
        <v>0</v>
      </c>
      <c r="F18" s="29">
        <f>'Stavební rozpočet'!I80</f>
        <v>0</v>
      </c>
      <c r="G18" s="29">
        <f>'Stavební rozpočet'!J80</f>
        <v>0</v>
      </c>
      <c r="H18" s="31" t="s">
        <v>1320</v>
      </c>
      <c r="I18" s="29">
        <f t="shared" si="0"/>
        <v>0</v>
      </c>
    </row>
    <row r="19" spans="1:9" ht="14.4" x14ac:dyDescent="0.3">
      <c r="A19" s="2" t="s">
        <v>55</v>
      </c>
      <c r="B19" s="3" t="s">
        <v>225</v>
      </c>
      <c r="C19" s="84" t="s">
        <v>226</v>
      </c>
      <c r="D19" s="84"/>
      <c r="E19" s="29">
        <f>'Stavební rozpočet'!H99</f>
        <v>0</v>
      </c>
      <c r="F19" s="29">
        <f>'Stavební rozpočet'!I99</f>
        <v>0</v>
      </c>
      <c r="G19" s="29">
        <f>'Stavební rozpočet'!J99</f>
        <v>0</v>
      </c>
      <c r="H19" s="31" t="s">
        <v>1320</v>
      </c>
      <c r="I19" s="29">
        <f t="shared" si="0"/>
        <v>0</v>
      </c>
    </row>
    <row r="20" spans="1:9" ht="14.4" x14ac:dyDescent="0.3">
      <c r="A20" s="2" t="s">
        <v>55</v>
      </c>
      <c r="B20" s="3" t="s">
        <v>264</v>
      </c>
      <c r="C20" s="84" t="s">
        <v>265</v>
      </c>
      <c r="D20" s="84"/>
      <c r="E20" s="29">
        <f>'Stavební rozpočet'!H117</f>
        <v>0</v>
      </c>
      <c r="F20" s="29">
        <f>'Stavební rozpočet'!I117</f>
        <v>0</v>
      </c>
      <c r="G20" s="29">
        <f>'Stavební rozpočet'!J117</f>
        <v>0</v>
      </c>
      <c r="H20" s="31" t="s">
        <v>1320</v>
      </c>
      <c r="I20" s="29">
        <f t="shared" si="0"/>
        <v>0</v>
      </c>
    </row>
    <row r="21" spans="1:9" ht="14.4" x14ac:dyDescent="0.3">
      <c r="A21" s="2" t="s">
        <v>55</v>
      </c>
      <c r="B21" s="3" t="s">
        <v>271</v>
      </c>
      <c r="C21" s="84" t="s">
        <v>272</v>
      </c>
      <c r="D21" s="84"/>
      <c r="E21" s="29">
        <f>'Stavební rozpočet'!H119</f>
        <v>0</v>
      </c>
      <c r="F21" s="29">
        <f>'Stavební rozpočet'!I119</f>
        <v>0</v>
      </c>
      <c r="G21" s="29">
        <f>'Stavební rozpočet'!J119</f>
        <v>0</v>
      </c>
      <c r="H21" s="31" t="s">
        <v>1320</v>
      </c>
      <c r="I21" s="29">
        <f t="shared" si="0"/>
        <v>0</v>
      </c>
    </row>
    <row r="22" spans="1:9" ht="14.4" x14ac:dyDescent="0.3">
      <c r="A22" s="2" t="s">
        <v>55</v>
      </c>
      <c r="B22" s="3" t="s">
        <v>279</v>
      </c>
      <c r="C22" s="84" t="s">
        <v>280</v>
      </c>
      <c r="D22" s="84"/>
      <c r="E22" s="29">
        <f>'Stavební rozpočet'!H122</f>
        <v>0</v>
      </c>
      <c r="F22" s="29">
        <f>'Stavební rozpočet'!I122</f>
        <v>0</v>
      </c>
      <c r="G22" s="29">
        <f>'Stavební rozpočet'!J122</f>
        <v>0</v>
      </c>
      <c r="H22" s="31" t="s">
        <v>1320</v>
      </c>
      <c r="I22" s="29">
        <f t="shared" si="0"/>
        <v>0</v>
      </c>
    </row>
    <row r="23" spans="1:9" ht="14.4" x14ac:dyDescent="0.3">
      <c r="A23" s="2" t="s">
        <v>55</v>
      </c>
      <c r="B23" s="3" t="s">
        <v>292</v>
      </c>
      <c r="C23" s="84" t="s">
        <v>293</v>
      </c>
      <c r="D23" s="84"/>
      <c r="E23" s="29">
        <f>'Stavební rozpočet'!H128</f>
        <v>0</v>
      </c>
      <c r="F23" s="29">
        <f>'Stavební rozpočet'!I128</f>
        <v>0</v>
      </c>
      <c r="G23" s="29">
        <f>'Stavební rozpočet'!J128</f>
        <v>0</v>
      </c>
      <c r="H23" s="31" t="s">
        <v>1320</v>
      </c>
      <c r="I23" s="29">
        <f t="shared" si="0"/>
        <v>0</v>
      </c>
    </row>
    <row r="24" spans="1:9" ht="14.4" x14ac:dyDescent="0.3">
      <c r="A24" s="2" t="s">
        <v>55</v>
      </c>
      <c r="B24" s="3" t="s">
        <v>324</v>
      </c>
      <c r="C24" s="84" t="s">
        <v>325</v>
      </c>
      <c r="D24" s="84"/>
      <c r="E24" s="29">
        <f>'Stavební rozpočet'!H143</f>
        <v>0</v>
      </c>
      <c r="F24" s="29">
        <f>'Stavební rozpočet'!I143</f>
        <v>0</v>
      </c>
      <c r="G24" s="29">
        <f>'Stavební rozpočet'!J143</f>
        <v>0</v>
      </c>
      <c r="H24" s="31" t="s">
        <v>1320</v>
      </c>
      <c r="I24" s="29">
        <f t="shared" si="0"/>
        <v>0</v>
      </c>
    </row>
    <row r="25" spans="1:9" ht="14.4" x14ac:dyDescent="0.3">
      <c r="A25" s="2" t="s">
        <v>55</v>
      </c>
      <c r="B25" s="3" t="s">
        <v>340</v>
      </c>
      <c r="C25" s="84" t="s">
        <v>341</v>
      </c>
      <c r="D25" s="84"/>
      <c r="E25" s="29">
        <f>'Stavební rozpočet'!H149</f>
        <v>0</v>
      </c>
      <c r="F25" s="29">
        <f>'Stavební rozpočet'!I149</f>
        <v>0</v>
      </c>
      <c r="G25" s="29">
        <f>'Stavební rozpočet'!J149</f>
        <v>0</v>
      </c>
      <c r="H25" s="31" t="s">
        <v>1320</v>
      </c>
      <c r="I25" s="29">
        <f t="shared" si="0"/>
        <v>0</v>
      </c>
    </row>
    <row r="26" spans="1:9" ht="14.4" x14ac:dyDescent="0.3">
      <c r="A26" s="2" t="s">
        <v>55</v>
      </c>
      <c r="B26" s="3" t="s">
        <v>362</v>
      </c>
      <c r="C26" s="84" t="s">
        <v>363</v>
      </c>
      <c r="D26" s="84"/>
      <c r="E26" s="29">
        <f>'Stavební rozpočet'!H158</f>
        <v>0</v>
      </c>
      <c r="F26" s="29">
        <f>'Stavební rozpočet'!I158</f>
        <v>0</v>
      </c>
      <c r="G26" s="29">
        <f>'Stavební rozpočet'!J158</f>
        <v>0</v>
      </c>
      <c r="H26" s="31" t="s">
        <v>1320</v>
      </c>
      <c r="I26" s="29">
        <f t="shared" si="0"/>
        <v>0</v>
      </c>
    </row>
    <row r="27" spans="1:9" ht="14.4" x14ac:dyDescent="0.3">
      <c r="A27" s="2" t="s">
        <v>55</v>
      </c>
      <c r="B27" s="3" t="s">
        <v>381</v>
      </c>
      <c r="C27" s="84" t="s">
        <v>382</v>
      </c>
      <c r="D27" s="84"/>
      <c r="E27" s="29">
        <f>'Stavební rozpočet'!H166</f>
        <v>0</v>
      </c>
      <c r="F27" s="29">
        <f>'Stavební rozpočet'!I166</f>
        <v>0</v>
      </c>
      <c r="G27" s="29">
        <f>'Stavební rozpočet'!J166</f>
        <v>0</v>
      </c>
      <c r="H27" s="31" t="s">
        <v>1320</v>
      </c>
      <c r="I27" s="29">
        <f t="shared" si="0"/>
        <v>0</v>
      </c>
    </row>
    <row r="28" spans="1:9" ht="14.4" x14ac:dyDescent="0.3">
      <c r="A28" s="76" t="s">
        <v>433</v>
      </c>
      <c r="B28" s="77" t="s">
        <v>51</v>
      </c>
      <c r="C28" s="135" t="s">
        <v>431</v>
      </c>
      <c r="D28" s="135"/>
      <c r="E28" s="78">
        <f>'Stavební rozpočet'!H194</f>
        <v>0</v>
      </c>
      <c r="F28" s="78">
        <f>'Stavební rozpočet'!I194</f>
        <v>0</v>
      </c>
      <c r="G28" s="78">
        <f>'Stavební rozpočet'!J194</f>
        <v>0</v>
      </c>
      <c r="H28" s="31" t="s">
        <v>1319</v>
      </c>
      <c r="I28" s="29">
        <f t="shared" si="0"/>
        <v>0</v>
      </c>
    </row>
    <row r="29" spans="1:9" ht="14.4" x14ac:dyDescent="0.3">
      <c r="A29" s="2" t="s">
        <v>433</v>
      </c>
      <c r="B29" s="3" t="s">
        <v>411</v>
      </c>
      <c r="C29" s="84" t="s">
        <v>432</v>
      </c>
      <c r="D29" s="84"/>
      <c r="E29" s="29">
        <f>'Stavební rozpočet'!H195</f>
        <v>0</v>
      </c>
      <c r="F29" s="29">
        <f>'Stavební rozpočet'!I195</f>
        <v>0</v>
      </c>
      <c r="G29" s="29">
        <f>'Stavební rozpočet'!J195</f>
        <v>0</v>
      </c>
      <c r="H29" s="31" t="s">
        <v>1320</v>
      </c>
      <c r="I29" s="29">
        <f t="shared" si="0"/>
        <v>0</v>
      </c>
    </row>
    <row r="30" spans="1:9" ht="14.4" x14ac:dyDescent="0.3">
      <c r="A30" s="2" t="s">
        <v>433</v>
      </c>
      <c r="B30" s="3" t="s">
        <v>177</v>
      </c>
      <c r="C30" s="84" t="s">
        <v>477</v>
      </c>
      <c r="D30" s="84"/>
      <c r="E30" s="29">
        <f>'Stavební rozpočet'!H234</f>
        <v>0</v>
      </c>
      <c r="F30" s="29">
        <f>'Stavební rozpočet'!I234</f>
        <v>0</v>
      </c>
      <c r="G30" s="29">
        <f>'Stavební rozpočet'!J234</f>
        <v>0</v>
      </c>
      <c r="H30" s="31" t="s">
        <v>1320</v>
      </c>
      <c r="I30" s="29">
        <f t="shared" si="0"/>
        <v>0</v>
      </c>
    </row>
    <row r="31" spans="1:9" ht="14.4" x14ac:dyDescent="0.3">
      <c r="A31" s="2" t="s">
        <v>433</v>
      </c>
      <c r="B31" s="3" t="s">
        <v>148</v>
      </c>
      <c r="C31" s="84" t="s">
        <v>149</v>
      </c>
      <c r="D31" s="84"/>
      <c r="E31" s="29">
        <f>'Stavební rozpočet'!H239</f>
        <v>0</v>
      </c>
      <c r="F31" s="29">
        <f>'Stavební rozpočet'!I239</f>
        <v>0</v>
      </c>
      <c r="G31" s="29">
        <f>'Stavební rozpočet'!J239</f>
        <v>0</v>
      </c>
      <c r="H31" s="31" t="s">
        <v>1320</v>
      </c>
      <c r="I31" s="29">
        <f t="shared" si="0"/>
        <v>0</v>
      </c>
    </row>
    <row r="32" spans="1:9" ht="14.4" x14ac:dyDescent="0.3">
      <c r="A32" s="2" t="s">
        <v>433</v>
      </c>
      <c r="B32" s="3" t="s">
        <v>260</v>
      </c>
      <c r="C32" s="84" t="s">
        <v>497</v>
      </c>
      <c r="D32" s="84"/>
      <c r="E32" s="29">
        <f>'Stavební rozpočet'!H244</f>
        <v>0</v>
      </c>
      <c r="F32" s="29">
        <f>'Stavební rozpočet'!I244</f>
        <v>0</v>
      </c>
      <c r="G32" s="29">
        <f>'Stavební rozpočet'!J244</f>
        <v>0</v>
      </c>
      <c r="H32" s="31" t="s">
        <v>1320</v>
      </c>
      <c r="I32" s="29">
        <f t="shared" si="0"/>
        <v>0</v>
      </c>
    </row>
    <row r="33" spans="1:9" ht="14.4" x14ac:dyDescent="0.3">
      <c r="A33" s="2" t="s">
        <v>433</v>
      </c>
      <c r="B33" s="3" t="s">
        <v>326</v>
      </c>
      <c r="C33" s="84" t="s">
        <v>510</v>
      </c>
      <c r="D33" s="84"/>
      <c r="E33" s="29">
        <f>'Stavební rozpočet'!H251</f>
        <v>0</v>
      </c>
      <c r="F33" s="29">
        <f>'Stavební rozpočet'!I251</f>
        <v>0</v>
      </c>
      <c r="G33" s="29">
        <f>'Stavební rozpočet'!J251</f>
        <v>0</v>
      </c>
      <c r="H33" s="31" t="s">
        <v>1320</v>
      </c>
      <c r="I33" s="29">
        <f t="shared" si="0"/>
        <v>0</v>
      </c>
    </row>
    <row r="34" spans="1:9" ht="14.4" x14ac:dyDescent="0.3">
      <c r="A34" s="2" t="s">
        <v>433</v>
      </c>
      <c r="B34" s="3" t="s">
        <v>378</v>
      </c>
      <c r="C34" s="84" t="s">
        <v>517</v>
      </c>
      <c r="D34" s="84"/>
      <c r="E34" s="29">
        <f>'Stavební rozpočet'!H254</f>
        <v>0</v>
      </c>
      <c r="F34" s="29">
        <f>'Stavební rozpočet'!I254</f>
        <v>0</v>
      </c>
      <c r="G34" s="29">
        <f>'Stavební rozpočet'!J254</f>
        <v>0</v>
      </c>
      <c r="H34" s="31" t="s">
        <v>1320</v>
      </c>
      <c r="I34" s="29">
        <f t="shared" si="0"/>
        <v>0</v>
      </c>
    </row>
    <row r="35" spans="1:9" ht="14.4" x14ac:dyDescent="0.3">
      <c r="A35" s="2" t="s">
        <v>433</v>
      </c>
      <c r="B35" s="3" t="s">
        <v>383</v>
      </c>
      <c r="C35" s="84" t="s">
        <v>576</v>
      </c>
      <c r="D35" s="84"/>
      <c r="E35" s="29">
        <f>'Stavební rozpočet'!H296</f>
        <v>0</v>
      </c>
      <c r="F35" s="29">
        <f>'Stavební rozpočet'!I296</f>
        <v>0</v>
      </c>
      <c r="G35" s="29">
        <f>'Stavební rozpočet'!J296</f>
        <v>0</v>
      </c>
      <c r="H35" s="31" t="s">
        <v>1320</v>
      </c>
      <c r="I35" s="29">
        <f t="shared" si="0"/>
        <v>0</v>
      </c>
    </row>
    <row r="36" spans="1:9" ht="14.4" x14ac:dyDescent="0.3">
      <c r="A36" s="2" t="s">
        <v>433</v>
      </c>
      <c r="B36" s="3" t="s">
        <v>404</v>
      </c>
      <c r="C36" s="84" t="s">
        <v>586</v>
      </c>
      <c r="D36" s="84"/>
      <c r="E36" s="29">
        <f>'Stavební rozpočet'!H309</f>
        <v>0</v>
      </c>
      <c r="F36" s="29">
        <f>'Stavební rozpočet'!I309</f>
        <v>0</v>
      </c>
      <c r="G36" s="29">
        <f>'Stavební rozpočet'!J309</f>
        <v>0</v>
      </c>
      <c r="H36" s="31" t="s">
        <v>1320</v>
      </c>
      <c r="I36" s="29">
        <f t="shared" si="0"/>
        <v>0</v>
      </c>
    </row>
    <row r="37" spans="1:9" ht="14.4" x14ac:dyDescent="0.3">
      <c r="A37" s="2" t="s">
        <v>433</v>
      </c>
      <c r="B37" s="3" t="s">
        <v>407</v>
      </c>
      <c r="C37" s="84" t="s">
        <v>604</v>
      </c>
      <c r="D37" s="84"/>
      <c r="E37" s="29">
        <f>'Stavební rozpočet'!H317</f>
        <v>0</v>
      </c>
      <c r="F37" s="29">
        <f>'Stavební rozpočet'!I317</f>
        <v>0</v>
      </c>
      <c r="G37" s="29">
        <f>'Stavební rozpočet'!J317</f>
        <v>0</v>
      </c>
      <c r="H37" s="31" t="s">
        <v>1320</v>
      </c>
      <c r="I37" s="29">
        <f t="shared" si="0"/>
        <v>0</v>
      </c>
    </row>
    <row r="38" spans="1:9" ht="14.4" x14ac:dyDescent="0.3">
      <c r="A38" s="2" t="s">
        <v>433</v>
      </c>
      <c r="B38" s="3" t="s">
        <v>162</v>
      </c>
      <c r="C38" s="84" t="s">
        <v>163</v>
      </c>
      <c r="D38" s="84"/>
      <c r="E38" s="29">
        <f>'Stavební rozpočet'!H340</f>
        <v>0</v>
      </c>
      <c r="F38" s="29">
        <f>'Stavební rozpočet'!I340</f>
        <v>0</v>
      </c>
      <c r="G38" s="29">
        <f>'Stavební rozpočet'!J340</f>
        <v>0</v>
      </c>
      <c r="H38" s="31" t="s">
        <v>1320</v>
      </c>
      <c r="I38" s="29">
        <f t="shared" si="0"/>
        <v>0</v>
      </c>
    </row>
    <row r="39" spans="1:9" ht="14.4" x14ac:dyDescent="0.3">
      <c r="A39" s="2" t="s">
        <v>433</v>
      </c>
      <c r="B39" s="3" t="s">
        <v>421</v>
      </c>
      <c r="C39" s="84" t="s">
        <v>648</v>
      </c>
      <c r="D39" s="84"/>
      <c r="E39" s="29">
        <f>'Stavební rozpočet'!H384</f>
        <v>0</v>
      </c>
      <c r="F39" s="29">
        <f>'Stavební rozpočet'!I384</f>
        <v>0</v>
      </c>
      <c r="G39" s="29">
        <f>'Stavební rozpočet'!J384</f>
        <v>0</v>
      </c>
      <c r="H39" s="31" t="s">
        <v>1320</v>
      </c>
      <c r="I39" s="29">
        <f t="shared" si="0"/>
        <v>0</v>
      </c>
    </row>
    <row r="40" spans="1:9" ht="14.4" x14ac:dyDescent="0.3">
      <c r="A40" s="2" t="s">
        <v>433</v>
      </c>
      <c r="B40" s="3" t="s">
        <v>683</v>
      </c>
      <c r="C40" s="84" t="s">
        <v>684</v>
      </c>
      <c r="D40" s="84"/>
      <c r="E40" s="29">
        <f>'Stavební rozpočet'!H402</f>
        <v>0</v>
      </c>
      <c r="F40" s="29">
        <f>'Stavební rozpočet'!I402</f>
        <v>0</v>
      </c>
      <c r="G40" s="29">
        <f>'Stavební rozpočet'!J402</f>
        <v>0</v>
      </c>
      <c r="H40" s="31" t="s">
        <v>1320</v>
      </c>
      <c r="I40" s="29">
        <f t="shared" si="0"/>
        <v>0</v>
      </c>
    </row>
    <row r="41" spans="1:9" ht="14.4" x14ac:dyDescent="0.3">
      <c r="A41" s="2" t="s">
        <v>433</v>
      </c>
      <c r="B41" s="3" t="s">
        <v>690</v>
      </c>
      <c r="C41" s="84" t="s">
        <v>691</v>
      </c>
      <c r="D41" s="84"/>
      <c r="E41" s="29">
        <f>'Stavební rozpočet'!H404</f>
        <v>0</v>
      </c>
      <c r="F41" s="29">
        <f>'Stavební rozpočet'!I404</f>
        <v>0</v>
      </c>
      <c r="G41" s="29">
        <f>'Stavební rozpočet'!J404</f>
        <v>0</v>
      </c>
      <c r="H41" s="31" t="s">
        <v>1320</v>
      </c>
      <c r="I41" s="29">
        <f t="shared" si="0"/>
        <v>0</v>
      </c>
    </row>
    <row r="42" spans="1:9" ht="14.4" x14ac:dyDescent="0.3">
      <c r="A42" s="2" t="s">
        <v>433</v>
      </c>
      <c r="B42" s="3" t="s">
        <v>737</v>
      </c>
      <c r="C42" s="84" t="s">
        <v>738</v>
      </c>
      <c r="D42" s="84"/>
      <c r="E42" s="29">
        <f>'Stavební rozpočet'!H435</f>
        <v>0</v>
      </c>
      <c r="F42" s="29">
        <f>'Stavební rozpočet'!I435</f>
        <v>0</v>
      </c>
      <c r="G42" s="29">
        <f>'Stavební rozpočet'!J435</f>
        <v>0</v>
      </c>
      <c r="H42" s="31" t="s">
        <v>1320</v>
      </c>
      <c r="I42" s="29">
        <f t="shared" si="0"/>
        <v>0</v>
      </c>
    </row>
    <row r="43" spans="1:9" ht="14.4" x14ac:dyDescent="0.3">
      <c r="A43" s="2" t="s">
        <v>433</v>
      </c>
      <c r="B43" s="3" t="s">
        <v>751</v>
      </c>
      <c r="C43" s="84" t="s">
        <v>752</v>
      </c>
      <c r="D43" s="84"/>
      <c r="E43" s="29">
        <f>'Stavební rozpočet'!H444</f>
        <v>0</v>
      </c>
      <c r="F43" s="29">
        <f>'Stavební rozpočet'!I444</f>
        <v>0</v>
      </c>
      <c r="G43" s="29">
        <f>'Stavební rozpočet'!J444</f>
        <v>0</v>
      </c>
      <c r="H43" s="31" t="s">
        <v>1320</v>
      </c>
      <c r="I43" s="29">
        <f t="shared" ref="I43:I69" si="1">IF(H43="F",0,G43)</f>
        <v>0</v>
      </c>
    </row>
    <row r="44" spans="1:9" ht="14.4" x14ac:dyDescent="0.3">
      <c r="A44" s="2" t="s">
        <v>433</v>
      </c>
      <c r="B44" s="3" t="s">
        <v>761</v>
      </c>
      <c r="C44" s="84" t="s">
        <v>762</v>
      </c>
      <c r="D44" s="84"/>
      <c r="E44" s="29">
        <f>'Stavební rozpočet'!H447</f>
        <v>0</v>
      </c>
      <c r="F44" s="29">
        <f>'Stavební rozpočet'!I447</f>
        <v>0</v>
      </c>
      <c r="G44" s="29">
        <f>'Stavební rozpočet'!J447</f>
        <v>0</v>
      </c>
      <c r="H44" s="31" t="s">
        <v>1320</v>
      </c>
      <c r="I44" s="29">
        <f t="shared" si="1"/>
        <v>0</v>
      </c>
    </row>
    <row r="45" spans="1:9" ht="14.4" x14ac:dyDescent="0.3">
      <c r="A45" s="2" t="s">
        <v>433</v>
      </c>
      <c r="B45" s="3" t="s">
        <v>279</v>
      </c>
      <c r="C45" s="84" t="s">
        <v>280</v>
      </c>
      <c r="D45" s="84"/>
      <c r="E45" s="29">
        <f>'Stavební rozpočet'!H454</f>
        <v>0</v>
      </c>
      <c r="F45" s="29">
        <f>'Stavební rozpočet'!I454</f>
        <v>0</v>
      </c>
      <c r="G45" s="29">
        <f>'Stavební rozpočet'!J454</f>
        <v>0</v>
      </c>
      <c r="H45" s="31" t="s">
        <v>1320</v>
      </c>
      <c r="I45" s="29">
        <f t="shared" si="1"/>
        <v>0</v>
      </c>
    </row>
    <row r="46" spans="1:9" ht="14.4" x14ac:dyDescent="0.3">
      <c r="A46" s="2" t="s">
        <v>433</v>
      </c>
      <c r="B46" s="3" t="s">
        <v>292</v>
      </c>
      <c r="C46" s="84" t="s">
        <v>293</v>
      </c>
      <c r="D46" s="84"/>
      <c r="E46" s="29">
        <f>'Stavební rozpočet'!H470</f>
        <v>0</v>
      </c>
      <c r="F46" s="29">
        <f>'Stavební rozpočet'!I470</f>
        <v>0</v>
      </c>
      <c r="G46" s="29">
        <f>'Stavební rozpočet'!J470</f>
        <v>0</v>
      </c>
      <c r="H46" s="31" t="s">
        <v>1320</v>
      </c>
      <c r="I46" s="29">
        <f t="shared" si="1"/>
        <v>0</v>
      </c>
    </row>
    <row r="47" spans="1:9" ht="14.4" x14ac:dyDescent="0.3">
      <c r="A47" s="2" t="s">
        <v>433</v>
      </c>
      <c r="B47" s="3" t="s">
        <v>828</v>
      </c>
      <c r="C47" s="84" t="s">
        <v>829</v>
      </c>
      <c r="D47" s="84"/>
      <c r="E47" s="29">
        <f>'Stavební rozpočet'!H488</f>
        <v>0</v>
      </c>
      <c r="F47" s="29">
        <f>'Stavební rozpočet'!I488</f>
        <v>0</v>
      </c>
      <c r="G47" s="29">
        <f>'Stavební rozpočet'!J488</f>
        <v>0</v>
      </c>
      <c r="H47" s="31" t="s">
        <v>1320</v>
      </c>
      <c r="I47" s="29">
        <f t="shared" si="1"/>
        <v>0</v>
      </c>
    </row>
    <row r="48" spans="1:9" ht="14.4" x14ac:dyDescent="0.3">
      <c r="A48" s="2" t="s">
        <v>433</v>
      </c>
      <c r="B48" s="3" t="s">
        <v>840</v>
      </c>
      <c r="C48" s="84" t="s">
        <v>841</v>
      </c>
      <c r="D48" s="84"/>
      <c r="E48" s="29">
        <f>'Stavební rozpočet'!H497</f>
        <v>0</v>
      </c>
      <c r="F48" s="29">
        <f>'Stavební rozpočet'!I497</f>
        <v>0</v>
      </c>
      <c r="G48" s="29">
        <f>'Stavební rozpočet'!J497</f>
        <v>0</v>
      </c>
      <c r="H48" s="31" t="s">
        <v>1320</v>
      </c>
      <c r="I48" s="29">
        <f t="shared" si="1"/>
        <v>0</v>
      </c>
    </row>
    <row r="49" spans="1:9" ht="14.4" x14ac:dyDescent="0.3">
      <c r="A49" s="2" t="s">
        <v>433</v>
      </c>
      <c r="B49" s="3" t="s">
        <v>856</v>
      </c>
      <c r="C49" s="84" t="s">
        <v>857</v>
      </c>
      <c r="D49" s="84"/>
      <c r="E49" s="29">
        <f>'Stavební rozpočet'!H502</f>
        <v>0</v>
      </c>
      <c r="F49" s="29">
        <f>'Stavební rozpočet'!I502</f>
        <v>0</v>
      </c>
      <c r="G49" s="29">
        <f>'Stavební rozpočet'!J502</f>
        <v>0</v>
      </c>
      <c r="H49" s="31" t="s">
        <v>1320</v>
      </c>
      <c r="I49" s="29">
        <f t="shared" si="1"/>
        <v>0</v>
      </c>
    </row>
    <row r="50" spans="1:9" ht="14.4" x14ac:dyDescent="0.3">
      <c r="A50" s="2" t="s">
        <v>433</v>
      </c>
      <c r="B50" s="3" t="s">
        <v>324</v>
      </c>
      <c r="C50" s="84" t="s">
        <v>325</v>
      </c>
      <c r="D50" s="84"/>
      <c r="E50" s="29">
        <f>'Stavební rozpočet'!H552</f>
        <v>0</v>
      </c>
      <c r="F50" s="29">
        <f>'Stavební rozpočet'!I552</f>
        <v>0</v>
      </c>
      <c r="G50" s="29">
        <f>'Stavební rozpočet'!J552</f>
        <v>0</v>
      </c>
      <c r="H50" s="31" t="s">
        <v>1320</v>
      </c>
      <c r="I50" s="29">
        <f t="shared" si="1"/>
        <v>0</v>
      </c>
    </row>
    <row r="51" spans="1:9" ht="14.4" x14ac:dyDescent="0.3">
      <c r="A51" s="2" t="s">
        <v>433</v>
      </c>
      <c r="B51" s="3" t="s">
        <v>976</v>
      </c>
      <c r="C51" s="84" t="s">
        <v>977</v>
      </c>
      <c r="D51" s="84"/>
      <c r="E51" s="29">
        <f>'Stavební rozpočet'!H577</f>
        <v>0</v>
      </c>
      <c r="F51" s="29">
        <f>'Stavební rozpočet'!I577</f>
        <v>0</v>
      </c>
      <c r="G51" s="29">
        <f>'Stavební rozpočet'!J577</f>
        <v>0</v>
      </c>
      <c r="H51" s="31" t="s">
        <v>1320</v>
      </c>
      <c r="I51" s="29">
        <f t="shared" si="1"/>
        <v>0</v>
      </c>
    </row>
    <row r="52" spans="1:9" ht="14.4" x14ac:dyDescent="0.3">
      <c r="A52" s="2" t="s">
        <v>433</v>
      </c>
      <c r="B52" s="3" t="s">
        <v>583</v>
      </c>
      <c r="C52" s="84" t="s">
        <v>994</v>
      </c>
      <c r="D52" s="84"/>
      <c r="E52" s="29">
        <f>'Stavební rozpočet'!H598</f>
        <v>0</v>
      </c>
      <c r="F52" s="29">
        <f>'Stavební rozpočet'!I598</f>
        <v>0</v>
      </c>
      <c r="G52" s="29">
        <f>'Stavební rozpočet'!J598</f>
        <v>0</v>
      </c>
      <c r="H52" s="31" t="s">
        <v>1320</v>
      </c>
      <c r="I52" s="29">
        <f t="shared" si="1"/>
        <v>0</v>
      </c>
    </row>
    <row r="53" spans="1:9" ht="14.4" x14ac:dyDescent="0.3">
      <c r="A53" s="2" t="s">
        <v>433</v>
      </c>
      <c r="B53" s="3" t="s">
        <v>601</v>
      </c>
      <c r="C53" s="84" t="s">
        <v>1005</v>
      </c>
      <c r="D53" s="84"/>
      <c r="E53" s="29">
        <f>'Stavební rozpočet'!H603</f>
        <v>0</v>
      </c>
      <c r="F53" s="29">
        <f>'Stavební rozpočet'!I603</f>
        <v>0</v>
      </c>
      <c r="G53" s="29">
        <f>'Stavební rozpočet'!J603</f>
        <v>0</v>
      </c>
      <c r="H53" s="31" t="s">
        <v>1320</v>
      </c>
      <c r="I53" s="29">
        <f t="shared" si="1"/>
        <v>0</v>
      </c>
    </row>
    <row r="54" spans="1:9" ht="14.4" x14ac:dyDescent="0.3">
      <c r="A54" s="76" t="s">
        <v>1039</v>
      </c>
      <c r="B54" s="77" t="s">
        <v>51</v>
      </c>
      <c r="C54" s="135" t="s">
        <v>1038</v>
      </c>
      <c r="D54" s="135"/>
      <c r="E54" s="78">
        <f>'Stavební rozpočet'!H621</f>
        <v>0</v>
      </c>
      <c r="F54" s="78">
        <f>'Stavební rozpočet'!I621</f>
        <v>0</v>
      </c>
      <c r="G54" s="78">
        <f>'Stavební rozpočet'!J621</f>
        <v>0</v>
      </c>
      <c r="H54" s="31" t="s">
        <v>1319</v>
      </c>
      <c r="I54" s="29">
        <f t="shared" si="1"/>
        <v>0</v>
      </c>
    </row>
    <row r="55" spans="1:9" ht="14.4" x14ac:dyDescent="0.3">
      <c r="A55" s="2" t="s">
        <v>1039</v>
      </c>
      <c r="B55" s="3" t="s">
        <v>411</v>
      </c>
      <c r="C55" s="84" t="s">
        <v>432</v>
      </c>
      <c r="D55" s="84"/>
      <c r="E55" s="29">
        <f>'Stavební rozpočet'!H622</f>
        <v>0</v>
      </c>
      <c r="F55" s="29">
        <f>'Stavební rozpočet'!I622</f>
        <v>0</v>
      </c>
      <c r="G55" s="29">
        <f>'Stavební rozpočet'!J622</f>
        <v>0</v>
      </c>
      <c r="H55" s="31" t="s">
        <v>1320</v>
      </c>
      <c r="I55" s="29">
        <f t="shared" si="1"/>
        <v>0</v>
      </c>
    </row>
    <row r="56" spans="1:9" ht="14.4" x14ac:dyDescent="0.3">
      <c r="A56" s="2" t="s">
        <v>1039</v>
      </c>
      <c r="B56" s="3" t="s">
        <v>53</v>
      </c>
      <c r="C56" s="84" t="s">
        <v>54</v>
      </c>
      <c r="D56" s="84"/>
      <c r="E56" s="29">
        <f>'Stavební rozpočet'!H627</f>
        <v>0</v>
      </c>
      <c r="F56" s="29">
        <f>'Stavební rozpočet'!I627</f>
        <v>0</v>
      </c>
      <c r="G56" s="29">
        <f>'Stavební rozpočet'!J627</f>
        <v>0</v>
      </c>
      <c r="H56" s="31" t="s">
        <v>1320</v>
      </c>
      <c r="I56" s="29">
        <f t="shared" si="1"/>
        <v>0</v>
      </c>
    </row>
    <row r="57" spans="1:9" ht="14.4" x14ac:dyDescent="0.3">
      <c r="A57" s="2" t="s">
        <v>1039</v>
      </c>
      <c r="B57" s="3" t="s">
        <v>1067</v>
      </c>
      <c r="C57" s="84" t="s">
        <v>1068</v>
      </c>
      <c r="D57" s="84"/>
      <c r="E57" s="29">
        <f>'Stavební rozpočet'!H634</f>
        <v>0</v>
      </c>
      <c r="F57" s="29">
        <f>'Stavební rozpočet'!I634</f>
        <v>0</v>
      </c>
      <c r="G57" s="29">
        <f>'Stavební rozpočet'!J634</f>
        <v>0</v>
      </c>
      <c r="H57" s="31" t="s">
        <v>1320</v>
      </c>
      <c r="I57" s="29">
        <f t="shared" si="1"/>
        <v>0</v>
      </c>
    </row>
    <row r="58" spans="1:9" ht="14.4" x14ac:dyDescent="0.3">
      <c r="A58" s="2" t="s">
        <v>1039</v>
      </c>
      <c r="B58" s="3" t="s">
        <v>1096</v>
      </c>
      <c r="C58" s="84" t="s">
        <v>1097</v>
      </c>
      <c r="D58" s="84"/>
      <c r="E58" s="29">
        <f>'Stavební rozpočet'!H644</f>
        <v>0</v>
      </c>
      <c r="F58" s="29">
        <f>'Stavební rozpočet'!I644</f>
        <v>0</v>
      </c>
      <c r="G58" s="29">
        <f>'Stavební rozpočet'!J644</f>
        <v>0</v>
      </c>
      <c r="H58" s="31" t="s">
        <v>1320</v>
      </c>
      <c r="I58" s="29">
        <f t="shared" si="1"/>
        <v>0</v>
      </c>
    </row>
    <row r="59" spans="1:9" ht="14.4" x14ac:dyDescent="0.3">
      <c r="A59" s="2" t="s">
        <v>1039</v>
      </c>
      <c r="B59" s="3" t="s">
        <v>1108</v>
      </c>
      <c r="C59" s="84" t="s">
        <v>1109</v>
      </c>
      <c r="D59" s="84"/>
      <c r="E59" s="29">
        <f>'Stavební rozpočet'!H649</f>
        <v>0</v>
      </c>
      <c r="F59" s="29">
        <f>'Stavební rozpočet'!I649</f>
        <v>0</v>
      </c>
      <c r="G59" s="29">
        <f>'Stavební rozpočet'!J649</f>
        <v>0</v>
      </c>
      <c r="H59" s="31" t="s">
        <v>1320</v>
      </c>
      <c r="I59" s="29">
        <f t="shared" si="1"/>
        <v>0</v>
      </c>
    </row>
    <row r="60" spans="1:9" ht="14.4" x14ac:dyDescent="0.3">
      <c r="A60" s="2" t="s">
        <v>1039</v>
      </c>
      <c r="B60" s="3" t="s">
        <v>1115</v>
      </c>
      <c r="C60" s="84" t="s">
        <v>1116</v>
      </c>
      <c r="D60" s="84"/>
      <c r="E60" s="29">
        <f>'Stavební rozpočet'!H651</f>
        <v>0</v>
      </c>
      <c r="F60" s="29">
        <f>'Stavební rozpočet'!I651</f>
        <v>0</v>
      </c>
      <c r="G60" s="29">
        <f>'Stavební rozpočet'!J651</f>
        <v>0</v>
      </c>
      <c r="H60" s="31" t="s">
        <v>1320</v>
      </c>
      <c r="I60" s="29">
        <f t="shared" si="1"/>
        <v>0</v>
      </c>
    </row>
    <row r="61" spans="1:9" ht="14.4" x14ac:dyDescent="0.3">
      <c r="A61" s="2" t="s">
        <v>1039</v>
      </c>
      <c r="B61" s="3" t="s">
        <v>1131</v>
      </c>
      <c r="C61" s="84" t="s">
        <v>1132</v>
      </c>
      <c r="D61" s="84"/>
      <c r="E61" s="29">
        <f>'Stavební rozpočet'!H657</f>
        <v>0</v>
      </c>
      <c r="F61" s="29">
        <f>'Stavební rozpočet'!I657</f>
        <v>0</v>
      </c>
      <c r="G61" s="29">
        <f>'Stavební rozpočet'!J657</f>
        <v>0</v>
      </c>
      <c r="H61" s="31" t="s">
        <v>1320</v>
      </c>
      <c r="I61" s="29">
        <f t="shared" si="1"/>
        <v>0</v>
      </c>
    </row>
    <row r="62" spans="1:9" ht="14.4" x14ac:dyDescent="0.3">
      <c r="A62" s="2" t="s">
        <v>1039</v>
      </c>
      <c r="B62" s="3" t="s">
        <v>1138</v>
      </c>
      <c r="C62" s="84" t="s">
        <v>1139</v>
      </c>
      <c r="D62" s="84"/>
      <c r="E62" s="29">
        <f>'Stavební rozpočet'!H660</f>
        <v>0</v>
      </c>
      <c r="F62" s="29">
        <f>'Stavební rozpočet'!I660</f>
        <v>0</v>
      </c>
      <c r="G62" s="29">
        <f>'Stavební rozpočet'!J660</f>
        <v>0</v>
      </c>
      <c r="H62" s="31" t="s">
        <v>1320</v>
      </c>
      <c r="I62" s="29">
        <f t="shared" si="1"/>
        <v>0</v>
      </c>
    </row>
    <row r="63" spans="1:9" ht="14.4" x14ac:dyDescent="0.3">
      <c r="A63" s="2" t="s">
        <v>1039</v>
      </c>
      <c r="B63" s="3" t="s">
        <v>1144</v>
      </c>
      <c r="C63" s="84" t="s">
        <v>1145</v>
      </c>
      <c r="D63" s="84"/>
      <c r="E63" s="29">
        <f>'Stavební rozpočet'!H662</f>
        <v>0</v>
      </c>
      <c r="F63" s="29">
        <f>'Stavební rozpočet'!I662</f>
        <v>0</v>
      </c>
      <c r="G63" s="29">
        <f>'Stavební rozpočet'!J662</f>
        <v>0</v>
      </c>
      <c r="H63" s="31" t="s">
        <v>1320</v>
      </c>
      <c r="I63" s="29">
        <f t="shared" si="1"/>
        <v>0</v>
      </c>
    </row>
    <row r="64" spans="1:9" ht="14.4" x14ac:dyDescent="0.3">
      <c r="A64" s="2" t="s">
        <v>1039</v>
      </c>
      <c r="B64" s="3" t="s">
        <v>1184</v>
      </c>
      <c r="C64" s="84" t="s">
        <v>1185</v>
      </c>
      <c r="D64" s="84"/>
      <c r="E64" s="29">
        <f>'Stavební rozpočet'!H677</f>
        <v>0</v>
      </c>
      <c r="F64" s="29">
        <f>'Stavební rozpočet'!I677</f>
        <v>0</v>
      </c>
      <c r="G64" s="29">
        <f>'Stavební rozpočet'!J677</f>
        <v>0</v>
      </c>
      <c r="H64" s="31" t="s">
        <v>1320</v>
      </c>
      <c r="I64" s="29">
        <f t="shared" si="1"/>
        <v>0</v>
      </c>
    </row>
    <row r="65" spans="1:9" ht="14.4" x14ac:dyDescent="0.3">
      <c r="A65" s="2" t="s">
        <v>1039</v>
      </c>
      <c r="B65" s="3" t="s">
        <v>1245</v>
      </c>
      <c r="C65" s="84" t="s">
        <v>272</v>
      </c>
      <c r="D65" s="84"/>
      <c r="E65" s="29">
        <f>'Stavební rozpočet'!H699</f>
        <v>0</v>
      </c>
      <c r="F65" s="29">
        <f>'Stavební rozpočet'!I699</f>
        <v>0</v>
      </c>
      <c r="G65" s="29">
        <f>'Stavební rozpočet'!J699</f>
        <v>0</v>
      </c>
      <c r="H65" s="31" t="s">
        <v>1320</v>
      </c>
      <c r="I65" s="29">
        <f t="shared" si="1"/>
        <v>0</v>
      </c>
    </row>
    <row r="66" spans="1:9" ht="14.4" x14ac:dyDescent="0.3">
      <c r="A66" s="2" t="s">
        <v>1039</v>
      </c>
      <c r="B66" s="3" t="s">
        <v>381</v>
      </c>
      <c r="C66" s="84" t="s">
        <v>382</v>
      </c>
      <c r="D66" s="84"/>
      <c r="E66" s="29">
        <f>'Stavební rozpočet'!H705</f>
        <v>0</v>
      </c>
      <c r="F66" s="29">
        <f>'Stavební rozpočet'!I705</f>
        <v>0</v>
      </c>
      <c r="G66" s="29">
        <f>'Stavební rozpočet'!J705</f>
        <v>0</v>
      </c>
      <c r="H66" s="31" t="s">
        <v>1320</v>
      </c>
      <c r="I66" s="29">
        <f t="shared" si="1"/>
        <v>0</v>
      </c>
    </row>
    <row r="67" spans="1:9" ht="14.4" x14ac:dyDescent="0.3">
      <c r="A67" s="76" t="s">
        <v>1266</v>
      </c>
      <c r="B67" s="77" t="s">
        <v>51</v>
      </c>
      <c r="C67" s="135" t="s">
        <v>1265</v>
      </c>
      <c r="D67" s="135"/>
      <c r="E67" s="78">
        <f>'Stavební rozpočet'!H707</f>
        <v>0</v>
      </c>
      <c r="F67" s="78">
        <f>'Stavební rozpočet'!I707</f>
        <v>0</v>
      </c>
      <c r="G67" s="78">
        <f>'Stavební rozpočet'!J707</f>
        <v>0</v>
      </c>
      <c r="H67" s="31" t="s">
        <v>1319</v>
      </c>
      <c r="I67" s="29">
        <f t="shared" si="1"/>
        <v>0</v>
      </c>
    </row>
    <row r="68" spans="1:9" ht="14.4" x14ac:dyDescent="0.3">
      <c r="A68" s="2" t="s">
        <v>1266</v>
      </c>
      <c r="B68" s="3" t="s">
        <v>1266</v>
      </c>
      <c r="C68" s="84" t="s">
        <v>1265</v>
      </c>
      <c r="D68" s="84"/>
      <c r="E68" s="29">
        <f>'Stavební rozpočet'!H708</f>
        <v>0</v>
      </c>
      <c r="F68" s="29">
        <f>'Stavební rozpočet'!I708</f>
        <v>0</v>
      </c>
      <c r="G68" s="29">
        <f>'Stavební rozpočet'!J708</f>
        <v>0</v>
      </c>
      <c r="H68" s="31" t="s">
        <v>1319</v>
      </c>
      <c r="I68" s="29">
        <f t="shared" si="1"/>
        <v>0</v>
      </c>
    </row>
    <row r="69" spans="1:9" ht="14.4" x14ac:dyDescent="0.3">
      <c r="A69" s="2" t="s">
        <v>1266</v>
      </c>
      <c r="B69" s="3" t="s">
        <v>1267</v>
      </c>
      <c r="C69" s="84" t="s">
        <v>1268</v>
      </c>
      <c r="D69" s="84"/>
      <c r="E69" s="29">
        <f>'Stavební rozpočet'!H709</f>
        <v>0</v>
      </c>
      <c r="F69" s="29">
        <f>'Stavební rozpočet'!I709</f>
        <v>0</v>
      </c>
      <c r="G69" s="29">
        <f>'Stavební rozpočet'!J709</f>
        <v>0</v>
      </c>
      <c r="H69" s="31" t="s">
        <v>1320</v>
      </c>
      <c r="I69" s="29">
        <f t="shared" si="1"/>
        <v>0</v>
      </c>
    </row>
    <row r="70" spans="1:9" ht="14.4" x14ac:dyDescent="0.3">
      <c r="F70" s="4" t="s">
        <v>1311</v>
      </c>
      <c r="G70" s="50">
        <f>SUM(I11:I69)</f>
        <v>0</v>
      </c>
    </row>
  </sheetData>
  <mergeCells count="84">
    <mergeCell ref="C67:D67"/>
    <mergeCell ref="C68:D68"/>
    <mergeCell ref="C69:D69"/>
    <mergeCell ref="C62:D62"/>
    <mergeCell ref="C63:D63"/>
    <mergeCell ref="C64:D64"/>
    <mergeCell ref="C65:D65"/>
    <mergeCell ref="C66:D66"/>
    <mergeCell ref="C57:D57"/>
    <mergeCell ref="C58:D58"/>
    <mergeCell ref="C59:D59"/>
    <mergeCell ref="C60:D60"/>
    <mergeCell ref="C61:D61"/>
    <mergeCell ref="C52:D52"/>
    <mergeCell ref="C53:D53"/>
    <mergeCell ref="C54:D54"/>
    <mergeCell ref="C55:D55"/>
    <mergeCell ref="C56:D56"/>
    <mergeCell ref="C47:D47"/>
    <mergeCell ref="C48:D48"/>
    <mergeCell ref="C49:D49"/>
    <mergeCell ref="C50:D50"/>
    <mergeCell ref="C51:D51"/>
    <mergeCell ref="C42:D42"/>
    <mergeCell ref="C43:D43"/>
    <mergeCell ref="C44:D44"/>
    <mergeCell ref="C45:D45"/>
    <mergeCell ref="C46:D46"/>
    <mergeCell ref="C37:D37"/>
    <mergeCell ref="C38:D38"/>
    <mergeCell ref="C39:D39"/>
    <mergeCell ref="C40:D40"/>
    <mergeCell ref="C41:D41"/>
    <mergeCell ref="C32:D32"/>
    <mergeCell ref="C33:D33"/>
    <mergeCell ref="C34:D34"/>
    <mergeCell ref="C35:D35"/>
    <mergeCell ref="C36:D36"/>
    <mergeCell ref="C27:D27"/>
    <mergeCell ref="C28:D28"/>
    <mergeCell ref="C29:D29"/>
    <mergeCell ref="C30:D30"/>
    <mergeCell ref="C31:D31"/>
    <mergeCell ref="C22:D22"/>
    <mergeCell ref="C23:D23"/>
    <mergeCell ref="C24:D24"/>
    <mergeCell ref="C25:D25"/>
    <mergeCell ref="C26:D26"/>
    <mergeCell ref="C17:D17"/>
    <mergeCell ref="C18:D18"/>
    <mergeCell ref="C19:D19"/>
    <mergeCell ref="C20:D20"/>
    <mergeCell ref="C21:D21"/>
    <mergeCell ref="C12:D12"/>
    <mergeCell ref="C13:D13"/>
    <mergeCell ref="C14:D14"/>
    <mergeCell ref="C15:D15"/>
    <mergeCell ref="C16:D16"/>
    <mergeCell ref="G2:G3"/>
    <mergeCell ref="G4:G5"/>
    <mergeCell ref="G6:G7"/>
    <mergeCell ref="G8:G9"/>
    <mergeCell ref="C11:D11"/>
    <mergeCell ref="C8:C9"/>
    <mergeCell ref="E2:E3"/>
    <mergeCell ref="E4:E5"/>
    <mergeCell ref="E6:E7"/>
    <mergeCell ref="E8:E9"/>
    <mergeCell ref="A1:G1"/>
    <mergeCell ref="A2:B3"/>
    <mergeCell ref="A4:B5"/>
    <mergeCell ref="A6:B7"/>
    <mergeCell ref="A8:B9"/>
    <mergeCell ref="D2:D3"/>
    <mergeCell ref="D4:D5"/>
    <mergeCell ref="D6:D7"/>
    <mergeCell ref="D8:D9"/>
    <mergeCell ref="F2:F3"/>
    <mergeCell ref="F4:F5"/>
    <mergeCell ref="F6:F7"/>
    <mergeCell ref="F8:F9"/>
    <mergeCell ref="C2:C3"/>
    <mergeCell ref="C4:C5"/>
    <mergeCell ref="C6:C7"/>
  </mergeCells>
  <pageMargins left="0.393999993801117" right="0.393999993801117" top="0.59100002050399802" bottom="0.59100002050399802" header="0" footer="0"/>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Z725"/>
  <sheetViews>
    <sheetView tabSelected="1" workbookViewId="0">
      <pane ySplit="11" topLeftCell="A708" activePane="bottomLeft" state="frozen"/>
      <selection pane="bottomLeft" activeCell="G14" sqref="G14"/>
    </sheetView>
  </sheetViews>
  <sheetFormatPr defaultColWidth="12.109375" defaultRowHeight="15" customHeight="1" x14ac:dyDescent="0.3"/>
  <cols>
    <col min="1" max="1" width="4" customWidth="1"/>
    <col min="2" max="2" width="17.88671875" customWidth="1"/>
    <col min="3" max="3" width="42.88671875" customWidth="1"/>
    <col min="4" max="4" width="35.6640625" customWidth="1"/>
    <col min="5" max="5" width="6.6640625" customWidth="1"/>
    <col min="6" max="6" width="12.88671875" customWidth="1"/>
    <col min="7" max="7" width="12" customWidth="1"/>
    <col min="8" max="10" width="15.6640625" customWidth="1"/>
    <col min="11" max="11" width="13.44140625" customWidth="1"/>
    <col min="25" max="75" width="12.109375" hidden="1"/>
    <col min="76" max="76" width="78.5546875" hidden="1" customWidth="1"/>
    <col min="77" max="78" width="12.109375" hidden="1"/>
  </cols>
  <sheetData>
    <row r="1" spans="1:76" ht="54.75" customHeight="1" x14ac:dyDescent="0.3">
      <c r="A1" s="80" t="s">
        <v>0</v>
      </c>
      <c r="B1" s="80"/>
      <c r="C1" s="80"/>
      <c r="D1" s="80"/>
      <c r="E1" s="80"/>
      <c r="F1" s="80"/>
      <c r="G1" s="80"/>
      <c r="H1" s="80"/>
      <c r="I1" s="80"/>
      <c r="J1" s="80"/>
      <c r="K1" s="80"/>
      <c r="AS1" s="1">
        <f>SUM(AJ1:AJ2)</f>
        <v>0</v>
      </c>
      <c r="AT1" s="1">
        <f>SUM(AK1:AK2)</f>
        <v>0</v>
      </c>
      <c r="AU1" s="1">
        <f>SUM(AL1:AL2)</f>
        <v>0</v>
      </c>
    </row>
    <row r="2" spans="1:76" ht="14.4" x14ac:dyDescent="0.3">
      <c r="A2" s="81" t="s">
        <v>1</v>
      </c>
      <c r="B2" s="82"/>
      <c r="C2" s="91" t="s">
        <v>2</v>
      </c>
      <c r="D2" s="92"/>
      <c r="E2" s="82" t="s">
        <v>3</v>
      </c>
      <c r="F2" s="82"/>
      <c r="G2" s="82" t="s">
        <v>4</v>
      </c>
      <c r="H2" s="86" t="s">
        <v>5</v>
      </c>
      <c r="I2" s="86" t="s">
        <v>6</v>
      </c>
      <c r="J2" s="82"/>
      <c r="K2" s="88"/>
    </row>
    <row r="3" spans="1:76" ht="14.4" x14ac:dyDescent="0.3">
      <c r="A3" s="83"/>
      <c r="B3" s="84"/>
      <c r="C3" s="93"/>
      <c r="D3" s="93"/>
      <c r="E3" s="84"/>
      <c r="F3" s="84"/>
      <c r="G3" s="84"/>
      <c r="H3" s="84"/>
      <c r="I3" s="84"/>
      <c r="J3" s="84"/>
      <c r="K3" s="89"/>
    </row>
    <row r="4" spans="1:76" ht="14.4" x14ac:dyDescent="0.3">
      <c r="A4" s="85" t="s">
        <v>7</v>
      </c>
      <c r="B4" s="84"/>
      <c r="C4" s="87" t="s">
        <v>8</v>
      </c>
      <c r="D4" s="84"/>
      <c r="E4" s="84" t="s">
        <v>9</v>
      </c>
      <c r="F4" s="84"/>
      <c r="G4" s="84" t="s">
        <v>10</v>
      </c>
      <c r="H4" s="87" t="s">
        <v>11</v>
      </c>
      <c r="I4" s="87" t="s">
        <v>1385</v>
      </c>
      <c r="J4" s="84"/>
      <c r="K4" s="89"/>
    </row>
    <row r="5" spans="1:76" ht="14.4" x14ac:dyDescent="0.3">
      <c r="A5" s="83"/>
      <c r="B5" s="84"/>
      <c r="C5" s="84"/>
      <c r="D5" s="84"/>
      <c r="E5" s="84"/>
      <c r="F5" s="84"/>
      <c r="G5" s="84"/>
      <c r="H5" s="84"/>
      <c r="I5" s="84"/>
      <c r="J5" s="84"/>
      <c r="K5" s="89"/>
    </row>
    <row r="6" spans="1:76" ht="14.4" x14ac:dyDescent="0.3">
      <c r="A6" s="85" t="s">
        <v>12</v>
      </c>
      <c r="B6" s="84"/>
      <c r="C6" s="87" t="s">
        <v>13</v>
      </c>
      <c r="D6" s="84"/>
      <c r="E6" s="84" t="s">
        <v>14</v>
      </c>
      <c r="F6" s="84"/>
      <c r="G6" s="84" t="s">
        <v>4</v>
      </c>
      <c r="H6" s="87" t="s">
        <v>15</v>
      </c>
      <c r="I6" s="87" t="s">
        <v>16</v>
      </c>
      <c r="J6" s="84"/>
      <c r="K6" s="89"/>
    </row>
    <row r="7" spans="1:76" ht="14.4" x14ac:dyDescent="0.3">
      <c r="A7" s="83"/>
      <c r="B7" s="84"/>
      <c r="C7" s="84"/>
      <c r="D7" s="84"/>
      <c r="E7" s="84"/>
      <c r="F7" s="84"/>
      <c r="G7" s="84"/>
      <c r="H7" s="84"/>
      <c r="I7" s="84"/>
      <c r="J7" s="84"/>
      <c r="K7" s="89"/>
    </row>
    <row r="8" spans="1:76" ht="14.4" x14ac:dyDescent="0.3">
      <c r="A8" s="85" t="s">
        <v>17</v>
      </c>
      <c r="B8" s="84"/>
      <c r="C8" s="87" t="s">
        <v>4</v>
      </c>
      <c r="D8" s="84"/>
      <c r="E8" s="84" t="s">
        <v>18</v>
      </c>
      <c r="F8" s="84"/>
      <c r="G8" s="84" t="s">
        <v>19</v>
      </c>
      <c r="H8" s="87" t="s">
        <v>20</v>
      </c>
      <c r="I8" s="87" t="s">
        <v>21</v>
      </c>
      <c r="J8" s="84"/>
      <c r="K8" s="89"/>
    </row>
    <row r="9" spans="1:76" ht="14.4" x14ac:dyDescent="0.3">
      <c r="A9" s="131"/>
      <c r="B9" s="132"/>
      <c r="C9" s="132"/>
      <c r="D9" s="132"/>
      <c r="E9" s="132"/>
      <c r="F9" s="132"/>
      <c r="G9" s="132"/>
      <c r="H9" s="132"/>
      <c r="I9" s="132"/>
      <c r="J9" s="132"/>
      <c r="K9" s="134"/>
    </row>
    <row r="10" spans="1:76" ht="14.4" x14ac:dyDescent="0.3">
      <c r="A10" s="6" t="s">
        <v>22</v>
      </c>
      <c r="B10" s="7" t="s">
        <v>23</v>
      </c>
      <c r="C10" s="145" t="s">
        <v>24</v>
      </c>
      <c r="D10" s="146"/>
      <c r="E10" s="7" t="s">
        <v>25</v>
      </c>
      <c r="F10" s="8" t="s">
        <v>26</v>
      </c>
      <c r="G10" s="9" t="s">
        <v>27</v>
      </c>
      <c r="H10" s="138" t="s">
        <v>28</v>
      </c>
      <c r="I10" s="139"/>
      <c r="J10" s="140"/>
      <c r="K10" s="10" t="s">
        <v>29</v>
      </c>
      <c r="BK10" s="11" t="s">
        <v>30</v>
      </c>
      <c r="BL10" s="12" t="s">
        <v>31</v>
      </c>
      <c r="BW10" s="12" t="s">
        <v>32</v>
      </c>
    </row>
    <row r="11" spans="1:76" ht="14.4" x14ac:dyDescent="0.3">
      <c r="A11" s="13" t="s">
        <v>4</v>
      </c>
      <c r="B11" s="14" t="s">
        <v>4</v>
      </c>
      <c r="C11" s="136" t="s">
        <v>33</v>
      </c>
      <c r="D11" s="137"/>
      <c r="E11" s="14" t="s">
        <v>4</v>
      </c>
      <c r="F11" s="14" t="s">
        <v>4</v>
      </c>
      <c r="G11" s="15" t="s">
        <v>34</v>
      </c>
      <c r="H11" s="16" t="s">
        <v>35</v>
      </c>
      <c r="I11" s="17" t="s">
        <v>36</v>
      </c>
      <c r="J11" s="18" t="s">
        <v>37</v>
      </c>
      <c r="K11" s="19" t="s">
        <v>38</v>
      </c>
      <c r="Z11" s="11" t="s">
        <v>39</v>
      </c>
      <c r="AA11" s="11" t="s">
        <v>40</v>
      </c>
      <c r="AB11" s="11" t="s">
        <v>41</v>
      </c>
      <c r="AC11" s="11" t="s">
        <v>42</v>
      </c>
      <c r="AD11" s="11" t="s">
        <v>43</v>
      </c>
      <c r="AE11" s="11" t="s">
        <v>44</v>
      </c>
      <c r="AF11" s="11" t="s">
        <v>45</v>
      </c>
      <c r="AG11" s="11" t="s">
        <v>46</v>
      </c>
      <c r="AH11" s="11" t="s">
        <v>47</v>
      </c>
      <c r="BH11" s="11" t="s">
        <v>48</v>
      </c>
      <c r="BI11" s="11" t="s">
        <v>49</v>
      </c>
      <c r="BJ11" s="11" t="s">
        <v>50</v>
      </c>
    </row>
    <row r="12" spans="1:76" ht="14.4" x14ac:dyDescent="0.3">
      <c r="A12" s="20" t="s">
        <v>51</v>
      </c>
      <c r="B12" s="21" t="s">
        <v>51</v>
      </c>
      <c r="C12" s="141" t="s">
        <v>52</v>
      </c>
      <c r="D12" s="142"/>
      <c r="E12" s="22" t="s">
        <v>4</v>
      </c>
      <c r="F12" s="22" t="s">
        <v>4</v>
      </c>
      <c r="G12" s="22" t="s">
        <v>4</v>
      </c>
      <c r="H12" s="23">
        <f>H13+H40+H49+H54+H63+H70+H80+H99+H117+H119+H122+H128+H143+H149+H158+H166</f>
        <v>0</v>
      </c>
      <c r="I12" s="23">
        <f>I13+I40+I49+I54+I63+I70+I80+I99+I117+I119+I122+I128+I143+I149+I158+I166</f>
        <v>0</v>
      </c>
      <c r="J12" s="23">
        <f>J13+J40+J49+J54+J63+J70+J80+J99+J117+J119+J122+J128+J143+J149+J158+J166</f>
        <v>0</v>
      </c>
      <c r="K12" s="24" t="s">
        <v>51</v>
      </c>
    </row>
    <row r="13" spans="1:76" ht="14.4" x14ac:dyDescent="0.3">
      <c r="A13" s="25" t="s">
        <v>51</v>
      </c>
      <c r="B13" s="26" t="s">
        <v>53</v>
      </c>
      <c r="C13" s="143" t="s">
        <v>54</v>
      </c>
      <c r="D13" s="144"/>
      <c r="E13" s="27" t="s">
        <v>4</v>
      </c>
      <c r="F13" s="27" t="s">
        <v>4</v>
      </c>
      <c r="G13" s="27" t="s">
        <v>4</v>
      </c>
      <c r="H13" s="1">
        <f>SUM(H14:H38)</f>
        <v>0</v>
      </c>
      <c r="I13" s="1">
        <f>SUM(I14:I38)</f>
        <v>0</v>
      </c>
      <c r="J13" s="1">
        <f>SUM(J14:J38)</f>
        <v>0</v>
      </c>
      <c r="K13" s="28" t="s">
        <v>51</v>
      </c>
      <c r="AI13" s="11" t="s">
        <v>55</v>
      </c>
      <c r="AS13" s="1">
        <f>SUM(AJ14:AJ38)</f>
        <v>0</v>
      </c>
      <c r="AT13" s="1">
        <f>SUM(AK14:AK38)</f>
        <v>0</v>
      </c>
      <c r="AU13" s="1">
        <f>SUM(AL14:AL38)</f>
        <v>0</v>
      </c>
    </row>
    <row r="14" spans="1:76" ht="14.4" x14ac:dyDescent="0.3">
      <c r="A14" s="2" t="s">
        <v>56</v>
      </c>
      <c r="B14" s="3" t="s">
        <v>57</v>
      </c>
      <c r="C14" s="87" t="s">
        <v>58</v>
      </c>
      <c r="D14" s="84"/>
      <c r="E14" s="3" t="s">
        <v>59</v>
      </c>
      <c r="F14" s="29">
        <v>22.75</v>
      </c>
      <c r="G14" s="29"/>
      <c r="H14" s="29">
        <f>F14*AO14</f>
        <v>0</v>
      </c>
      <c r="I14" s="29">
        <f>F14*AP14</f>
        <v>0</v>
      </c>
      <c r="J14" s="29">
        <f>F14*G14</f>
        <v>0</v>
      </c>
      <c r="K14" s="30" t="s">
        <v>60</v>
      </c>
      <c r="Z14" s="29">
        <f>IF(AQ14="5",BJ14,0)</f>
        <v>0</v>
      </c>
      <c r="AB14" s="29">
        <f>IF(AQ14="1",BH14,0)</f>
        <v>0</v>
      </c>
      <c r="AC14" s="29">
        <f>IF(AQ14="1",BI14,0)</f>
        <v>0</v>
      </c>
      <c r="AD14" s="29">
        <f>IF(AQ14="7",BH14,0)</f>
        <v>0</v>
      </c>
      <c r="AE14" s="29">
        <f>IF(AQ14="7",BI14,0)</f>
        <v>0</v>
      </c>
      <c r="AF14" s="29">
        <f>IF(AQ14="2",BH14,0)</f>
        <v>0</v>
      </c>
      <c r="AG14" s="29">
        <f>IF(AQ14="2",BI14,0)</f>
        <v>0</v>
      </c>
      <c r="AH14" s="29">
        <f>IF(AQ14="0",BJ14,0)</f>
        <v>0</v>
      </c>
      <c r="AI14" s="11" t="s">
        <v>55</v>
      </c>
      <c r="AJ14" s="29">
        <f>IF(AN14=0,J14,0)</f>
        <v>0</v>
      </c>
      <c r="AK14" s="29">
        <f>IF(AN14=12,J14,0)</f>
        <v>0</v>
      </c>
      <c r="AL14" s="29">
        <f>IF(AN14=21,J14,0)</f>
        <v>0</v>
      </c>
      <c r="AN14" s="29">
        <v>21</v>
      </c>
      <c r="AO14" s="29">
        <f>G14*0</f>
        <v>0</v>
      </c>
      <c r="AP14" s="29">
        <f>G14*(1-0)</f>
        <v>0</v>
      </c>
      <c r="AQ14" s="31" t="s">
        <v>56</v>
      </c>
      <c r="AV14" s="29">
        <f>AW14+AX14</f>
        <v>0</v>
      </c>
      <c r="AW14" s="29">
        <f>F14*AO14</f>
        <v>0</v>
      </c>
      <c r="AX14" s="29">
        <f>F14*AP14</f>
        <v>0</v>
      </c>
      <c r="AY14" s="31" t="s">
        <v>61</v>
      </c>
      <c r="AZ14" s="31" t="s">
        <v>62</v>
      </c>
      <c r="BA14" s="11" t="s">
        <v>63</v>
      </c>
      <c r="BC14" s="29">
        <f>AW14+AX14</f>
        <v>0</v>
      </c>
      <c r="BD14" s="29">
        <f>G14/(100-BE14)*100</f>
        <v>0</v>
      </c>
      <c r="BE14" s="29">
        <v>0</v>
      </c>
      <c r="BF14" s="29">
        <f>14</f>
        <v>14</v>
      </c>
      <c r="BH14" s="29">
        <f>F14*AO14</f>
        <v>0</v>
      </c>
      <c r="BI14" s="29">
        <f>F14*AP14</f>
        <v>0</v>
      </c>
      <c r="BJ14" s="29">
        <f>F14*G14</f>
        <v>0</v>
      </c>
      <c r="BK14" s="29"/>
      <c r="BL14" s="29">
        <v>97</v>
      </c>
      <c r="BW14" s="29">
        <v>21</v>
      </c>
      <c r="BX14" s="5" t="s">
        <v>58</v>
      </c>
    </row>
    <row r="15" spans="1:76" ht="14.4" x14ac:dyDescent="0.3">
      <c r="A15" s="32"/>
      <c r="C15" s="33" t="s">
        <v>64</v>
      </c>
      <c r="D15" s="33" t="s">
        <v>65</v>
      </c>
      <c r="F15" s="34">
        <v>0.3</v>
      </c>
      <c r="K15" s="35"/>
    </row>
    <row r="16" spans="1:76" ht="14.4" x14ac:dyDescent="0.3">
      <c r="A16" s="32"/>
      <c r="C16" s="33" t="s">
        <v>66</v>
      </c>
      <c r="D16" s="33" t="s">
        <v>67</v>
      </c>
      <c r="F16" s="34">
        <v>9.9499999999999993</v>
      </c>
      <c r="K16" s="35"/>
    </row>
    <row r="17" spans="1:76" ht="14.4" x14ac:dyDescent="0.3">
      <c r="A17" s="32"/>
      <c r="C17" s="33" t="s">
        <v>68</v>
      </c>
      <c r="D17" s="33" t="s">
        <v>69</v>
      </c>
      <c r="F17" s="34">
        <v>12.5</v>
      </c>
      <c r="K17" s="35"/>
    </row>
    <row r="18" spans="1:76" ht="14.4" x14ac:dyDescent="0.3">
      <c r="A18" s="2" t="s">
        <v>70</v>
      </c>
      <c r="B18" s="3" t="s">
        <v>71</v>
      </c>
      <c r="C18" s="87" t="s">
        <v>72</v>
      </c>
      <c r="D18" s="84"/>
      <c r="E18" s="3" t="s">
        <v>73</v>
      </c>
      <c r="F18" s="29">
        <v>6.36</v>
      </c>
      <c r="G18" s="29">
        <v>0</v>
      </c>
      <c r="H18" s="29">
        <f>F18*AO18</f>
        <v>0</v>
      </c>
      <c r="I18" s="29">
        <f>F18*AP18</f>
        <v>0</v>
      </c>
      <c r="J18" s="29">
        <f>F18*G18</f>
        <v>0</v>
      </c>
      <c r="K18" s="30" t="s">
        <v>60</v>
      </c>
      <c r="Z18" s="29">
        <f>IF(AQ18="5",BJ18,0)</f>
        <v>0</v>
      </c>
      <c r="AB18" s="29">
        <f>IF(AQ18="1",BH18,0)</f>
        <v>0</v>
      </c>
      <c r="AC18" s="29">
        <f>IF(AQ18="1",BI18,0)</f>
        <v>0</v>
      </c>
      <c r="AD18" s="29">
        <f>IF(AQ18="7",BH18,0)</f>
        <v>0</v>
      </c>
      <c r="AE18" s="29">
        <f>IF(AQ18="7",BI18,0)</f>
        <v>0</v>
      </c>
      <c r="AF18" s="29">
        <f>IF(AQ18="2",BH18,0)</f>
        <v>0</v>
      </c>
      <c r="AG18" s="29">
        <f>IF(AQ18="2",BI18,0)</f>
        <v>0</v>
      </c>
      <c r="AH18" s="29">
        <f>IF(AQ18="0",BJ18,0)</f>
        <v>0</v>
      </c>
      <c r="AI18" s="11" t="s">
        <v>55</v>
      </c>
      <c r="AJ18" s="29">
        <f>IF(AN18=0,J18,0)</f>
        <v>0</v>
      </c>
      <c r="AK18" s="29">
        <f>IF(AN18=12,J18,0)</f>
        <v>0</v>
      </c>
      <c r="AL18" s="29">
        <f>IF(AN18=21,J18,0)</f>
        <v>0</v>
      </c>
      <c r="AN18" s="29">
        <v>21</v>
      </c>
      <c r="AO18" s="29">
        <f>G18*0.149135869</f>
        <v>0</v>
      </c>
      <c r="AP18" s="29">
        <f>G18*(1-0.149135869)</f>
        <v>0</v>
      </c>
      <c r="AQ18" s="31" t="s">
        <v>56</v>
      </c>
      <c r="AV18" s="29">
        <f>AW18+AX18</f>
        <v>0</v>
      </c>
      <c r="AW18" s="29">
        <f>F18*AO18</f>
        <v>0</v>
      </c>
      <c r="AX18" s="29">
        <f>F18*AP18</f>
        <v>0</v>
      </c>
      <c r="AY18" s="31" t="s">
        <v>61</v>
      </c>
      <c r="AZ18" s="31" t="s">
        <v>62</v>
      </c>
      <c r="BA18" s="11" t="s">
        <v>63</v>
      </c>
      <c r="BC18" s="29">
        <f>AW18+AX18</f>
        <v>0</v>
      </c>
      <c r="BD18" s="29">
        <f>G18/(100-BE18)*100</f>
        <v>0</v>
      </c>
      <c r="BE18" s="29">
        <v>0</v>
      </c>
      <c r="BF18" s="29">
        <f>18</f>
        <v>18</v>
      </c>
      <c r="BH18" s="29">
        <f>F18*AO18</f>
        <v>0</v>
      </c>
      <c r="BI18" s="29">
        <f>F18*AP18</f>
        <v>0</v>
      </c>
      <c r="BJ18" s="29">
        <f>F18*G18</f>
        <v>0</v>
      </c>
      <c r="BK18" s="29"/>
      <c r="BL18" s="29">
        <v>97</v>
      </c>
      <c r="BW18" s="29">
        <v>21</v>
      </c>
      <c r="BX18" s="5" t="s">
        <v>72</v>
      </c>
    </row>
    <row r="19" spans="1:76" ht="14.4" x14ac:dyDescent="0.3">
      <c r="A19" s="32"/>
      <c r="C19" s="33" t="s">
        <v>51</v>
      </c>
      <c r="D19" s="33" t="s">
        <v>74</v>
      </c>
      <c r="F19" s="34">
        <v>0</v>
      </c>
      <c r="K19" s="35"/>
    </row>
    <row r="20" spans="1:76" ht="14.4" x14ac:dyDescent="0.3">
      <c r="A20" s="32"/>
      <c r="C20" s="33" t="s">
        <v>75</v>
      </c>
      <c r="D20" s="33" t="s">
        <v>76</v>
      </c>
      <c r="F20" s="34">
        <v>3.18</v>
      </c>
      <c r="K20" s="35"/>
    </row>
    <row r="21" spans="1:76" ht="14.4" x14ac:dyDescent="0.3">
      <c r="A21" s="32"/>
      <c r="C21" s="33" t="s">
        <v>75</v>
      </c>
      <c r="D21" s="33" t="s">
        <v>77</v>
      </c>
      <c r="F21" s="34">
        <v>3.18</v>
      </c>
      <c r="K21" s="35"/>
    </row>
    <row r="22" spans="1:76" ht="14.4" x14ac:dyDescent="0.3">
      <c r="A22" s="2" t="s">
        <v>78</v>
      </c>
      <c r="B22" s="3" t="s">
        <v>79</v>
      </c>
      <c r="C22" s="87" t="s">
        <v>80</v>
      </c>
      <c r="D22" s="84"/>
      <c r="E22" s="3" t="s">
        <v>59</v>
      </c>
      <c r="F22" s="29">
        <v>193.83850000000001</v>
      </c>
      <c r="G22" s="29">
        <v>0</v>
      </c>
      <c r="H22" s="29">
        <f>F22*AO22</f>
        <v>0</v>
      </c>
      <c r="I22" s="29">
        <f>F22*AP22</f>
        <v>0</v>
      </c>
      <c r="J22" s="29">
        <f>F22*G22</f>
        <v>0</v>
      </c>
      <c r="K22" s="30" t="s">
        <v>60</v>
      </c>
      <c r="Z22" s="29">
        <f>IF(AQ22="5",BJ22,0)</f>
        <v>0</v>
      </c>
      <c r="AB22" s="29">
        <f>IF(AQ22="1",BH22,0)</f>
        <v>0</v>
      </c>
      <c r="AC22" s="29">
        <f>IF(AQ22="1",BI22,0)</f>
        <v>0</v>
      </c>
      <c r="AD22" s="29">
        <f>IF(AQ22="7",BH22,0)</f>
        <v>0</v>
      </c>
      <c r="AE22" s="29">
        <f>IF(AQ22="7",BI22,0)</f>
        <v>0</v>
      </c>
      <c r="AF22" s="29">
        <f>IF(AQ22="2",BH22,0)</f>
        <v>0</v>
      </c>
      <c r="AG22" s="29">
        <f>IF(AQ22="2",BI22,0)</f>
        <v>0</v>
      </c>
      <c r="AH22" s="29">
        <f>IF(AQ22="0",BJ22,0)</f>
        <v>0</v>
      </c>
      <c r="AI22" s="11" t="s">
        <v>55</v>
      </c>
      <c r="AJ22" s="29">
        <f>IF(AN22=0,J22,0)</f>
        <v>0</v>
      </c>
      <c r="AK22" s="29">
        <f>IF(AN22=12,J22,0)</f>
        <v>0</v>
      </c>
      <c r="AL22" s="29">
        <f>IF(AN22=21,J22,0)</f>
        <v>0</v>
      </c>
      <c r="AN22" s="29">
        <v>21</v>
      </c>
      <c r="AO22" s="29">
        <f>G22*0</f>
        <v>0</v>
      </c>
      <c r="AP22" s="29">
        <f>G22*(1-0)</f>
        <v>0</v>
      </c>
      <c r="AQ22" s="31" t="s">
        <v>56</v>
      </c>
      <c r="AV22" s="29">
        <f>AW22+AX22</f>
        <v>0</v>
      </c>
      <c r="AW22" s="29">
        <f>F22*AO22</f>
        <v>0</v>
      </c>
      <c r="AX22" s="29">
        <f>F22*AP22</f>
        <v>0</v>
      </c>
      <c r="AY22" s="31" t="s">
        <v>61</v>
      </c>
      <c r="AZ22" s="31" t="s">
        <v>62</v>
      </c>
      <c r="BA22" s="11" t="s">
        <v>63</v>
      </c>
      <c r="BC22" s="29">
        <f>AW22+AX22</f>
        <v>0</v>
      </c>
      <c r="BD22" s="29">
        <f>G22/(100-BE22)*100</f>
        <v>0</v>
      </c>
      <c r="BE22" s="29">
        <v>0</v>
      </c>
      <c r="BF22" s="29">
        <f>22</f>
        <v>22</v>
      </c>
      <c r="BH22" s="29">
        <f>F22*AO22</f>
        <v>0</v>
      </c>
      <c r="BI22" s="29">
        <f>F22*AP22</f>
        <v>0</v>
      </c>
      <c r="BJ22" s="29">
        <f>F22*G22</f>
        <v>0</v>
      </c>
      <c r="BK22" s="29"/>
      <c r="BL22" s="29">
        <v>97</v>
      </c>
      <c r="BW22" s="29">
        <v>21</v>
      </c>
      <c r="BX22" s="5" t="s">
        <v>80</v>
      </c>
    </row>
    <row r="23" spans="1:76" ht="14.4" x14ac:dyDescent="0.3">
      <c r="A23" s="32"/>
      <c r="C23" s="33" t="s">
        <v>81</v>
      </c>
      <c r="D23" s="33" t="s">
        <v>82</v>
      </c>
      <c r="F23" s="34">
        <v>36.866</v>
      </c>
      <c r="K23" s="35"/>
    </row>
    <row r="24" spans="1:76" ht="14.4" x14ac:dyDescent="0.3">
      <c r="A24" s="32"/>
      <c r="C24" s="33" t="s">
        <v>83</v>
      </c>
      <c r="D24" s="33" t="s">
        <v>84</v>
      </c>
      <c r="F24" s="34">
        <v>66.972499999999997</v>
      </c>
      <c r="K24" s="35"/>
    </row>
    <row r="25" spans="1:76" ht="14.4" x14ac:dyDescent="0.3">
      <c r="A25" s="32"/>
      <c r="C25" s="33" t="s">
        <v>85</v>
      </c>
      <c r="D25" s="33" t="s">
        <v>86</v>
      </c>
      <c r="F25" s="34">
        <v>90</v>
      </c>
      <c r="K25" s="35"/>
    </row>
    <row r="26" spans="1:76" ht="14.4" x14ac:dyDescent="0.3">
      <c r="A26" s="2" t="s">
        <v>87</v>
      </c>
      <c r="B26" s="3" t="s">
        <v>88</v>
      </c>
      <c r="C26" s="87" t="s">
        <v>89</v>
      </c>
      <c r="D26" s="84"/>
      <c r="E26" s="3" t="s">
        <v>59</v>
      </c>
      <c r="F26" s="29">
        <v>429.33460000000002</v>
      </c>
      <c r="G26" s="29">
        <v>0</v>
      </c>
      <c r="H26" s="29">
        <f>F26*AO26</f>
        <v>0</v>
      </c>
      <c r="I26" s="29">
        <f>F26*AP26</f>
        <v>0</v>
      </c>
      <c r="J26" s="29">
        <f>F26*G26</f>
        <v>0</v>
      </c>
      <c r="K26" s="30" t="s">
        <v>60</v>
      </c>
      <c r="Z26" s="29">
        <f>IF(AQ26="5",BJ26,0)</f>
        <v>0</v>
      </c>
      <c r="AB26" s="29">
        <f>IF(AQ26="1",BH26,0)</f>
        <v>0</v>
      </c>
      <c r="AC26" s="29">
        <f>IF(AQ26="1",BI26,0)</f>
        <v>0</v>
      </c>
      <c r="AD26" s="29">
        <f>IF(AQ26="7",BH26,0)</f>
        <v>0</v>
      </c>
      <c r="AE26" s="29">
        <f>IF(AQ26="7",BI26,0)</f>
        <v>0</v>
      </c>
      <c r="AF26" s="29">
        <f>IF(AQ26="2",BH26,0)</f>
        <v>0</v>
      </c>
      <c r="AG26" s="29">
        <f>IF(AQ26="2",BI26,0)</f>
        <v>0</v>
      </c>
      <c r="AH26" s="29">
        <f>IF(AQ26="0",BJ26,0)</f>
        <v>0</v>
      </c>
      <c r="AI26" s="11" t="s">
        <v>55</v>
      </c>
      <c r="AJ26" s="29">
        <f>IF(AN26=0,J26,0)</f>
        <v>0</v>
      </c>
      <c r="AK26" s="29">
        <f>IF(AN26=12,J26,0)</f>
        <v>0</v>
      </c>
      <c r="AL26" s="29">
        <f>IF(AN26=21,J26,0)</f>
        <v>0</v>
      </c>
      <c r="AN26" s="29">
        <v>21</v>
      </c>
      <c r="AO26" s="29">
        <f>G26*0</f>
        <v>0</v>
      </c>
      <c r="AP26" s="29">
        <f>G26*(1-0)</f>
        <v>0</v>
      </c>
      <c r="AQ26" s="31" t="s">
        <v>56</v>
      </c>
      <c r="AV26" s="29">
        <f>AW26+AX26</f>
        <v>0</v>
      </c>
      <c r="AW26" s="29">
        <f>F26*AO26</f>
        <v>0</v>
      </c>
      <c r="AX26" s="29">
        <f>F26*AP26</f>
        <v>0</v>
      </c>
      <c r="AY26" s="31" t="s">
        <v>61</v>
      </c>
      <c r="AZ26" s="31" t="s">
        <v>62</v>
      </c>
      <c r="BA26" s="11" t="s">
        <v>63</v>
      </c>
      <c r="BC26" s="29">
        <f>AW26+AX26</f>
        <v>0</v>
      </c>
      <c r="BD26" s="29">
        <f>G26/(100-BE26)*100</f>
        <v>0</v>
      </c>
      <c r="BE26" s="29">
        <v>0</v>
      </c>
      <c r="BF26" s="29">
        <f>26</f>
        <v>26</v>
      </c>
      <c r="BH26" s="29">
        <f>F26*AO26</f>
        <v>0</v>
      </c>
      <c r="BI26" s="29">
        <f>F26*AP26</f>
        <v>0</v>
      </c>
      <c r="BJ26" s="29">
        <f>F26*G26</f>
        <v>0</v>
      </c>
      <c r="BK26" s="29"/>
      <c r="BL26" s="29">
        <v>97</v>
      </c>
      <c r="BW26" s="29">
        <v>21</v>
      </c>
      <c r="BX26" s="5" t="s">
        <v>89</v>
      </c>
    </row>
    <row r="27" spans="1:76" ht="14.4" x14ac:dyDescent="0.3">
      <c r="A27" s="32"/>
      <c r="C27" s="33" t="s">
        <v>90</v>
      </c>
      <c r="D27" s="33" t="s">
        <v>76</v>
      </c>
      <c r="F27" s="34">
        <v>68.198400000000007</v>
      </c>
      <c r="K27" s="35"/>
    </row>
    <row r="28" spans="1:76" ht="14.4" x14ac:dyDescent="0.3">
      <c r="A28" s="32"/>
      <c r="C28" s="33" t="s">
        <v>91</v>
      </c>
      <c r="D28" s="33" t="s">
        <v>51</v>
      </c>
      <c r="F28" s="34">
        <v>6.39</v>
      </c>
      <c r="K28" s="35"/>
    </row>
    <row r="29" spans="1:76" ht="14.4" x14ac:dyDescent="0.3">
      <c r="A29" s="32"/>
      <c r="C29" s="33" t="s">
        <v>90</v>
      </c>
      <c r="D29" s="33" t="s">
        <v>51</v>
      </c>
      <c r="F29" s="34">
        <v>68.198400000000007</v>
      </c>
      <c r="K29" s="35"/>
    </row>
    <row r="30" spans="1:76" ht="14.4" x14ac:dyDescent="0.3">
      <c r="A30" s="32"/>
      <c r="C30" s="33" t="s">
        <v>92</v>
      </c>
      <c r="D30" s="33" t="s">
        <v>51</v>
      </c>
      <c r="F30" s="34">
        <v>15.046799999999999</v>
      </c>
      <c r="K30" s="35"/>
    </row>
    <row r="31" spans="1:76" ht="14.4" x14ac:dyDescent="0.3">
      <c r="A31" s="32"/>
      <c r="C31" s="33" t="s">
        <v>93</v>
      </c>
      <c r="D31" s="33" t="s">
        <v>94</v>
      </c>
      <c r="F31" s="34">
        <v>71.808000000000007</v>
      </c>
      <c r="K31" s="35"/>
    </row>
    <row r="32" spans="1:76" ht="14.4" x14ac:dyDescent="0.3">
      <c r="A32" s="32"/>
      <c r="C32" s="33" t="s">
        <v>95</v>
      </c>
      <c r="D32" s="33" t="s">
        <v>51</v>
      </c>
      <c r="F32" s="34">
        <v>2.9148000000000001</v>
      </c>
      <c r="K32" s="35"/>
    </row>
    <row r="33" spans="1:76" ht="14.4" x14ac:dyDescent="0.3">
      <c r="A33" s="32"/>
      <c r="C33" s="33" t="s">
        <v>93</v>
      </c>
      <c r="D33" s="33" t="s">
        <v>51</v>
      </c>
      <c r="F33" s="34">
        <v>71.808000000000007</v>
      </c>
      <c r="K33" s="35"/>
    </row>
    <row r="34" spans="1:76" ht="14.4" x14ac:dyDescent="0.3">
      <c r="A34" s="32"/>
      <c r="C34" s="33" t="s">
        <v>96</v>
      </c>
      <c r="D34" s="33" t="s">
        <v>51</v>
      </c>
      <c r="F34" s="34">
        <v>22.9678</v>
      </c>
      <c r="K34" s="35"/>
    </row>
    <row r="35" spans="1:76" ht="14.4" x14ac:dyDescent="0.3">
      <c r="A35" s="32"/>
      <c r="C35" s="33" t="s">
        <v>97</v>
      </c>
      <c r="D35" s="33" t="s">
        <v>77</v>
      </c>
      <c r="F35" s="34">
        <v>67.968000000000004</v>
      </c>
      <c r="K35" s="35"/>
    </row>
    <row r="36" spans="1:76" ht="14.4" x14ac:dyDescent="0.3">
      <c r="A36" s="32"/>
      <c r="C36" s="33" t="s">
        <v>98</v>
      </c>
      <c r="D36" s="33" t="s">
        <v>51</v>
      </c>
      <c r="F36" s="34">
        <v>7.2552000000000003</v>
      </c>
      <c r="K36" s="35"/>
    </row>
    <row r="37" spans="1:76" ht="14.4" x14ac:dyDescent="0.3">
      <c r="A37" s="32"/>
      <c r="C37" s="33" t="s">
        <v>99</v>
      </c>
      <c r="D37" s="33" t="s">
        <v>51</v>
      </c>
      <c r="F37" s="34">
        <v>26.779199999999999</v>
      </c>
      <c r="K37" s="35"/>
    </row>
    <row r="38" spans="1:76" ht="14.4" x14ac:dyDescent="0.3">
      <c r="A38" s="2" t="s">
        <v>100</v>
      </c>
      <c r="B38" s="3" t="s">
        <v>101</v>
      </c>
      <c r="C38" s="87" t="s">
        <v>102</v>
      </c>
      <c r="D38" s="84"/>
      <c r="E38" s="3" t="s">
        <v>103</v>
      </c>
      <c r="F38" s="29">
        <v>9</v>
      </c>
      <c r="G38" s="29">
        <v>0</v>
      </c>
      <c r="H38" s="29">
        <f>F38*AO38</f>
        <v>0</v>
      </c>
      <c r="I38" s="29">
        <f>F38*AP38</f>
        <v>0</v>
      </c>
      <c r="J38" s="29">
        <f>F38*G38</f>
        <v>0</v>
      </c>
      <c r="K38" s="30" t="s">
        <v>60</v>
      </c>
      <c r="Z38" s="29">
        <f>IF(AQ38="5",BJ38,0)</f>
        <v>0</v>
      </c>
      <c r="AB38" s="29">
        <f>IF(AQ38="1",BH38,0)</f>
        <v>0</v>
      </c>
      <c r="AC38" s="29">
        <f>IF(AQ38="1",BI38,0)</f>
        <v>0</v>
      </c>
      <c r="AD38" s="29">
        <f>IF(AQ38="7",BH38,0)</f>
        <v>0</v>
      </c>
      <c r="AE38" s="29">
        <f>IF(AQ38="7",BI38,0)</f>
        <v>0</v>
      </c>
      <c r="AF38" s="29">
        <f>IF(AQ38="2",BH38,0)</f>
        <v>0</v>
      </c>
      <c r="AG38" s="29">
        <f>IF(AQ38="2",BI38,0)</f>
        <v>0</v>
      </c>
      <c r="AH38" s="29">
        <f>IF(AQ38="0",BJ38,0)</f>
        <v>0</v>
      </c>
      <c r="AI38" s="11" t="s">
        <v>55</v>
      </c>
      <c r="AJ38" s="29">
        <f>IF(AN38=0,J38,0)</f>
        <v>0</v>
      </c>
      <c r="AK38" s="29">
        <f>IF(AN38=12,J38,0)</f>
        <v>0</v>
      </c>
      <c r="AL38" s="29">
        <f>IF(AN38=21,J38,0)</f>
        <v>0</v>
      </c>
      <c r="AN38" s="29">
        <v>21</v>
      </c>
      <c r="AO38" s="29">
        <f>G38*0.052021277</f>
        <v>0</v>
      </c>
      <c r="AP38" s="29">
        <f>G38*(1-0.052021277)</f>
        <v>0</v>
      </c>
      <c r="AQ38" s="31" t="s">
        <v>56</v>
      </c>
      <c r="AV38" s="29">
        <f>AW38+AX38</f>
        <v>0</v>
      </c>
      <c r="AW38" s="29">
        <f>F38*AO38</f>
        <v>0</v>
      </c>
      <c r="AX38" s="29">
        <f>F38*AP38</f>
        <v>0</v>
      </c>
      <c r="AY38" s="31" t="s">
        <v>61</v>
      </c>
      <c r="AZ38" s="31" t="s">
        <v>62</v>
      </c>
      <c r="BA38" s="11" t="s">
        <v>63</v>
      </c>
      <c r="BC38" s="29">
        <f>AW38+AX38</f>
        <v>0</v>
      </c>
      <c r="BD38" s="29">
        <f>G38/(100-BE38)*100</f>
        <v>0</v>
      </c>
      <c r="BE38" s="29">
        <v>0</v>
      </c>
      <c r="BF38" s="29">
        <f>38</f>
        <v>38</v>
      </c>
      <c r="BH38" s="29">
        <f>F38*AO38</f>
        <v>0</v>
      </c>
      <c r="BI38" s="29">
        <f>F38*AP38</f>
        <v>0</v>
      </c>
      <c r="BJ38" s="29">
        <f>F38*G38</f>
        <v>0</v>
      </c>
      <c r="BK38" s="29"/>
      <c r="BL38" s="29">
        <v>97</v>
      </c>
      <c r="BW38" s="29">
        <v>21</v>
      </c>
      <c r="BX38" s="5" t="s">
        <v>102</v>
      </c>
    </row>
    <row r="39" spans="1:76" ht="14.4" x14ac:dyDescent="0.3">
      <c r="A39" s="32"/>
      <c r="C39" s="33" t="s">
        <v>104</v>
      </c>
      <c r="D39" s="33" t="s">
        <v>105</v>
      </c>
      <c r="F39" s="34">
        <v>9</v>
      </c>
      <c r="K39" s="35"/>
    </row>
    <row r="40" spans="1:76" ht="14.4" x14ac:dyDescent="0.3">
      <c r="A40" s="25" t="s">
        <v>51</v>
      </c>
      <c r="B40" s="26" t="s">
        <v>106</v>
      </c>
      <c r="C40" s="143" t="s">
        <v>107</v>
      </c>
      <c r="D40" s="144"/>
      <c r="E40" s="27" t="s">
        <v>4</v>
      </c>
      <c r="F40" s="27" t="s">
        <v>4</v>
      </c>
      <c r="G40" s="27" t="s">
        <v>4</v>
      </c>
      <c r="H40" s="1">
        <f>SUM(H41:H47)</f>
        <v>0</v>
      </c>
      <c r="I40" s="1">
        <f>SUM(I41:I47)</f>
        <v>0</v>
      </c>
      <c r="J40" s="1">
        <f>SUM(J41:J47)</f>
        <v>0</v>
      </c>
      <c r="K40" s="28" t="s">
        <v>51</v>
      </c>
      <c r="AI40" s="11" t="s">
        <v>55</v>
      </c>
      <c r="AS40" s="1">
        <f>SUM(AJ41:AJ47)</f>
        <v>0</v>
      </c>
      <c r="AT40" s="1">
        <f>SUM(AK41:AK47)</f>
        <v>0</v>
      </c>
      <c r="AU40" s="1">
        <f>SUM(AL41:AL47)</f>
        <v>0</v>
      </c>
    </row>
    <row r="41" spans="1:76" ht="14.4" x14ac:dyDescent="0.3">
      <c r="A41" s="2" t="s">
        <v>108</v>
      </c>
      <c r="B41" s="3" t="s">
        <v>109</v>
      </c>
      <c r="C41" s="87" t="s">
        <v>110</v>
      </c>
      <c r="D41" s="84"/>
      <c r="E41" s="3" t="s">
        <v>59</v>
      </c>
      <c r="F41" s="29">
        <v>100.6352</v>
      </c>
      <c r="G41" s="29">
        <v>0</v>
      </c>
      <c r="H41" s="29">
        <f>F41*AO41</f>
        <v>0</v>
      </c>
      <c r="I41" s="29">
        <f>F41*AP41</f>
        <v>0</v>
      </c>
      <c r="J41" s="29">
        <f>F41*G41</f>
        <v>0</v>
      </c>
      <c r="K41" s="30" t="s">
        <v>60</v>
      </c>
      <c r="Z41" s="29">
        <f>IF(AQ41="5",BJ41,0)</f>
        <v>0</v>
      </c>
      <c r="AB41" s="29">
        <f>IF(AQ41="1",BH41,0)</f>
        <v>0</v>
      </c>
      <c r="AC41" s="29">
        <f>IF(AQ41="1",BI41,0)</f>
        <v>0</v>
      </c>
      <c r="AD41" s="29">
        <f>IF(AQ41="7",BH41,0)</f>
        <v>0</v>
      </c>
      <c r="AE41" s="29">
        <f>IF(AQ41="7",BI41,0)</f>
        <v>0</v>
      </c>
      <c r="AF41" s="29">
        <f>IF(AQ41="2",BH41,0)</f>
        <v>0</v>
      </c>
      <c r="AG41" s="29">
        <f>IF(AQ41="2",BI41,0)</f>
        <v>0</v>
      </c>
      <c r="AH41" s="29">
        <f>IF(AQ41="0",BJ41,0)</f>
        <v>0</v>
      </c>
      <c r="AI41" s="11" t="s">
        <v>55</v>
      </c>
      <c r="AJ41" s="29">
        <f>IF(AN41=0,J41,0)</f>
        <v>0</v>
      </c>
      <c r="AK41" s="29">
        <f>IF(AN41=12,J41,0)</f>
        <v>0</v>
      </c>
      <c r="AL41" s="29">
        <f>IF(AN41=21,J41,0)</f>
        <v>0</v>
      </c>
      <c r="AN41" s="29">
        <v>21</v>
      </c>
      <c r="AO41" s="29">
        <f>G41*0</f>
        <v>0</v>
      </c>
      <c r="AP41" s="29">
        <f>G41*(1-0)</f>
        <v>0</v>
      </c>
      <c r="AQ41" s="31" t="s">
        <v>56</v>
      </c>
      <c r="AV41" s="29">
        <f>AW41+AX41</f>
        <v>0</v>
      </c>
      <c r="AW41" s="29">
        <f>F41*AO41</f>
        <v>0</v>
      </c>
      <c r="AX41" s="29">
        <f>F41*AP41</f>
        <v>0</v>
      </c>
      <c r="AY41" s="31" t="s">
        <v>111</v>
      </c>
      <c r="AZ41" s="31" t="s">
        <v>112</v>
      </c>
      <c r="BA41" s="11" t="s">
        <v>63</v>
      </c>
      <c r="BC41" s="29">
        <f>AW41+AX41</f>
        <v>0</v>
      </c>
      <c r="BD41" s="29">
        <f>G41/(100-BE41)*100</f>
        <v>0</v>
      </c>
      <c r="BE41" s="29">
        <v>0</v>
      </c>
      <c r="BF41" s="29">
        <f>41</f>
        <v>41</v>
      </c>
      <c r="BH41" s="29">
        <f>F41*AO41</f>
        <v>0</v>
      </c>
      <c r="BI41" s="29">
        <f>F41*AP41</f>
        <v>0</v>
      </c>
      <c r="BJ41" s="29">
        <f>F41*G41</f>
        <v>0</v>
      </c>
      <c r="BK41" s="29"/>
      <c r="BL41" s="29">
        <v>11</v>
      </c>
      <c r="BW41" s="29">
        <v>21</v>
      </c>
      <c r="BX41" s="5" t="s">
        <v>110</v>
      </c>
    </row>
    <row r="42" spans="1:76" ht="14.4" x14ac:dyDescent="0.3">
      <c r="A42" s="32"/>
      <c r="C42" s="33" t="s">
        <v>113</v>
      </c>
      <c r="D42" s="33" t="s">
        <v>114</v>
      </c>
      <c r="F42" s="34">
        <v>66.991200000000006</v>
      </c>
      <c r="K42" s="35"/>
    </row>
    <row r="43" spans="1:76" ht="14.4" x14ac:dyDescent="0.3">
      <c r="A43" s="32"/>
      <c r="C43" s="33" t="s">
        <v>115</v>
      </c>
      <c r="D43" s="33" t="s">
        <v>116</v>
      </c>
      <c r="F43" s="34">
        <v>33.643999999999998</v>
      </c>
      <c r="K43" s="35"/>
    </row>
    <row r="44" spans="1:76" ht="14.4" x14ac:dyDescent="0.3">
      <c r="A44" s="2" t="s">
        <v>117</v>
      </c>
      <c r="B44" s="3" t="s">
        <v>118</v>
      </c>
      <c r="C44" s="87" t="s">
        <v>119</v>
      </c>
      <c r="D44" s="84"/>
      <c r="E44" s="3" t="s">
        <v>59</v>
      </c>
      <c r="F44" s="29">
        <v>101.6752</v>
      </c>
      <c r="G44" s="29">
        <v>0</v>
      </c>
      <c r="H44" s="29">
        <f>F44*AO44</f>
        <v>0</v>
      </c>
      <c r="I44" s="29">
        <f>F44*AP44</f>
        <v>0</v>
      </c>
      <c r="J44" s="29">
        <f>F44*G44</f>
        <v>0</v>
      </c>
      <c r="K44" s="30" t="s">
        <v>60</v>
      </c>
      <c r="Z44" s="29">
        <f>IF(AQ44="5",BJ44,0)</f>
        <v>0</v>
      </c>
      <c r="AB44" s="29">
        <f>IF(AQ44="1",BH44,0)</f>
        <v>0</v>
      </c>
      <c r="AC44" s="29">
        <f>IF(AQ44="1",BI44,0)</f>
        <v>0</v>
      </c>
      <c r="AD44" s="29">
        <f>IF(AQ44="7",BH44,0)</f>
        <v>0</v>
      </c>
      <c r="AE44" s="29">
        <f>IF(AQ44="7",BI44,0)</f>
        <v>0</v>
      </c>
      <c r="AF44" s="29">
        <f>IF(AQ44="2",BH44,0)</f>
        <v>0</v>
      </c>
      <c r="AG44" s="29">
        <f>IF(AQ44="2",BI44,0)</f>
        <v>0</v>
      </c>
      <c r="AH44" s="29">
        <f>IF(AQ44="0",BJ44,0)</f>
        <v>0</v>
      </c>
      <c r="AI44" s="11" t="s">
        <v>55</v>
      </c>
      <c r="AJ44" s="29">
        <f>IF(AN44=0,J44,0)</f>
        <v>0</v>
      </c>
      <c r="AK44" s="29">
        <f>IF(AN44=12,J44,0)</f>
        <v>0</v>
      </c>
      <c r="AL44" s="29">
        <f>IF(AN44=21,J44,0)</f>
        <v>0</v>
      </c>
      <c r="AN44" s="29">
        <v>21</v>
      </c>
      <c r="AO44" s="29">
        <f>G44*0</f>
        <v>0</v>
      </c>
      <c r="AP44" s="29">
        <f>G44*(1-0)</f>
        <v>0</v>
      </c>
      <c r="AQ44" s="31" t="s">
        <v>56</v>
      </c>
      <c r="AV44" s="29">
        <f>AW44+AX44</f>
        <v>0</v>
      </c>
      <c r="AW44" s="29">
        <f>F44*AO44</f>
        <v>0</v>
      </c>
      <c r="AX44" s="29">
        <f>F44*AP44</f>
        <v>0</v>
      </c>
      <c r="AY44" s="31" t="s">
        <v>111</v>
      </c>
      <c r="AZ44" s="31" t="s">
        <v>112</v>
      </c>
      <c r="BA44" s="11" t="s">
        <v>63</v>
      </c>
      <c r="BC44" s="29">
        <f>AW44+AX44</f>
        <v>0</v>
      </c>
      <c r="BD44" s="29">
        <f>G44/(100-BE44)*100</f>
        <v>0</v>
      </c>
      <c r="BE44" s="29">
        <v>0</v>
      </c>
      <c r="BF44" s="29">
        <f>44</f>
        <v>44</v>
      </c>
      <c r="BH44" s="29">
        <f>F44*AO44</f>
        <v>0</v>
      </c>
      <c r="BI44" s="29">
        <f>F44*AP44</f>
        <v>0</v>
      </c>
      <c r="BJ44" s="29">
        <f>F44*G44</f>
        <v>0</v>
      </c>
      <c r="BK44" s="29"/>
      <c r="BL44" s="29">
        <v>11</v>
      </c>
      <c r="BW44" s="29">
        <v>21</v>
      </c>
      <c r="BX44" s="5" t="s">
        <v>119</v>
      </c>
    </row>
    <row r="45" spans="1:76" ht="14.4" x14ac:dyDescent="0.3">
      <c r="A45" s="32"/>
      <c r="C45" s="33" t="s">
        <v>113</v>
      </c>
      <c r="D45" s="33" t="s">
        <v>51</v>
      </c>
      <c r="F45" s="34">
        <v>66.991200000000006</v>
      </c>
      <c r="K45" s="35"/>
    </row>
    <row r="46" spans="1:76" ht="14.4" x14ac:dyDescent="0.3">
      <c r="A46" s="32"/>
      <c r="C46" s="33" t="s">
        <v>120</v>
      </c>
      <c r="D46" s="33" t="s">
        <v>51</v>
      </c>
      <c r="F46" s="34">
        <v>34.683999999999997</v>
      </c>
      <c r="K46" s="35"/>
    </row>
    <row r="47" spans="1:76" ht="14.4" x14ac:dyDescent="0.3">
      <c r="A47" s="2" t="s">
        <v>121</v>
      </c>
      <c r="B47" s="3" t="s">
        <v>122</v>
      </c>
      <c r="C47" s="87" t="s">
        <v>123</v>
      </c>
      <c r="D47" s="84"/>
      <c r="E47" s="3" t="s">
        <v>59</v>
      </c>
      <c r="F47" s="29">
        <v>185.18</v>
      </c>
      <c r="G47" s="29">
        <v>0</v>
      </c>
      <c r="H47" s="29">
        <f>F47*AO47</f>
        <v>0</v>
      </c>
      <c r="I47" s="29">
        <f>F47*AP47</f>
        <v>0</v>
      </c>
      <c r="J47" s="29">
        <f>F47*G47</f>
        <v>0</v>
      </c>
      <c r="K47" s="30" t="s">
        <v>60</v>
      </c>
      <c r="Z47" s="29">
        <f>IF(AQ47="5",BJ47,0)</f>
        <v>0</v>
      </c>
      <c r="AB47" s="29">
        <f>IF(AQ47="1",BH47,0)</f>
        <v>0</v>
      </c>
      <c r="AC47" s="29">
        <f>IF(AQ47="1",BI47,0)</f>
        <v>0</v>
      </c>
      <c r="AD47" s="29">
        <f>IF(AQ47="7",BH47,0)</f>
        <v>0</v>
      </c>
      <c r="AE47" s="29">
        <f>IF(AQ47="7",BI47,0)</f>
        <v>0</v>
      </c>
      <c r="AF47" s="29">
        <f>IF(AQ47="2",BH47,0)</f>
        <v>0</v>
      </c>
      <c r="AG47" s="29">
        <f>IF(AQ47="2",BI47,0)</f>
        <v>0</v>
      </c>
      <c r="AH47" s="29">
        <f>IF(AQ47="0",BJ47,0)</f>
        <v>0</v>
      </c>
      <c r="AI47" s="11" t="s">
        <v>55</v>
      </c>
      <c r="AJ47" s="29">
        <f>IF(AN47=0,J47,0)</f>
        <v>0</v>
      </c>
      <c r="AK47" s="29">
        <f>IF(AN47=12,J47,0)</f>
        <v>0</v>
      </c>
      <c r="AL47" s="29">
        <f>IF(AN47=21,J47,0)</f>
        <v>0</v>
      </c>
      <c r="AN47" s="29">
        <v>21</v>
      </c>
      <c r="AO47" s="29">
        <f>G47*0</f>
        <v>0</v>
      </c>
      <c r="AP47" s="29">
        <f>G47*(1-0)</f>
        <v>0</v>
      </c>
      <c r="AQ47" s="31" t="s">
        <v>56</v>
      </c>
      <c r="AV47" s="29">
        <f>AW47+AX47</f>
        <v>0</v>
      </c>
      <c r="AW47" s="29">
        <f>F47*AO47</f>
        <v>0</v>
      </c>
      <c r="AX47" s="29">
        <f>F47*AP47</f>
        <v>0</v>
      </c>
      <c r="AY47" s="31" t="s">
        <v>111</v>
      </c>
      <c r="AZ47" s="31" t="s">
        <v>112</v>
      </c>
      <c r="BA47" s="11" t="s">
        <v>63</v>
      </c>
      <c r="BC47" s="29">
        <f>AW47+AX47</f>
        <v>0</v>
      </c>
      <c r="BD47" s="29">
        <f>G47/(100-BE47)*100</f>
        <v>0</v>
      </c>
      <c r="BE47" s="29">
        <v>0</v>
      </c>
      <c r="BF47" s="29">
        <f>47</f>
        <v>47</v>
      </c>
      <c r="BH47" s="29">
        <f>F47*AO47</f>
        <v>0</v>
      </c>
      <c r="BI47" s="29">
        <f>F47*AP47</f>
        <v>0</v>
      </c>
      <c r="BJ47" s="29">
        <f>F47*G47</f>
        <v>0</v>
      </c>
      <c r="BK47" s="29"/>
      <c r="BL47" s="29">
        <v>11</v>
      </c>
      <c r="BW47" s="29">
        <v>21</v>
      </c>
      <c r="BX47" s="5" t="s">
        <v>123</v>
      </c>
    </row>
    <row r="48" spans="1:76" ht="14.4" x14ac:dyDescent="0.3">
      <c r="A48" s="32"/>
      <c r="C48" s="33" t="s">
        <v>124</v>
      </c>
      <c r="D48" s="33" t="s">
        <v>51</v>
      </c>
      <c r="F48" s="34">
        <v>185.18</v>
      </c>
      <c r="K48" s="35"/>
    </row>
    <row r="49" spans="1:76" ht="14.4" x14ac:dyDescent="0.3">
      <c r="A49" s="25" t="s">
        <v>51</v>
      </c>
      <c r="B49" s="26" t="s">
        <v>125</v>
      </c>
      <c r="C49" s="143" t="s">
        <v>126</v>
      </c>
      <c r="D49" s="144"/>
      <c r="E49" s="27" t="s">
        <v>4</v>
      </c>
      <c r="F49" s="27" t="s">
        <v>4</v>
      </c>
      <c r="G49" s="27" t="s">
        <v>4</v>
      </c>
      <c r="H49" s="1">
        <f>SUM(H50:H50)</f>
        <v>0</v>
      </c>
      <c r="I49" s="1">
        <f>SUM(I50:I50)</f>
        <v>0</v>
      </c>
      <c r="J49" s="1">
        <f>SUM(J50:J50)</f>
        <v>0</v>
      </c>
      <c r="K49" s="28" t="s">
        <v>51</v>
      </c>
      <c r="AI49" s="11" t="s">
        <v>55</v>
      </c>
      <c r="AS49" s="1">
        <f>SUM(AJ50:AJ50)</f>
        <v>0</v>
      </c>
      <c r="AT49" s="1">
        <f>SUM(AK50:AK50)</f>
        <v>0</v>
      </c>
      <c r="AU49" s="1">
        <f>SUM(AL50:AL50)</f>
        <v>0</v>
      </c>
    </row>
    <row r="50" spans="1:76" ht="14.4" x14ac:dyDescent="0.3">
      <c r="A50" s="2" t="s">
        <v>104</v>
      </c>
      <c r="B50" s="3" t="s">
        <v>127</v>
      </c>
      <c r="C50" s="87" t="s">
        <v>128</v>
      </c>
      <c r="D50" s="84"/>
      <c r="E50" s="3" t="s">
        <v>129</v>
      </c>
      <c r="F50" s="29">
        <v>13.9245</v>
      </c>
      <c r="G50" s="29">
        <v>0</v>
      </c>
      <c r="H50" s="29">
        <f>F50*AO50</f>
        <v>0</v>
      </c>
      <c r="I50" s="29">
        <f>F50*AP50</f>
        <v>0</v>
      </c>
      <c r="J50" s="29">
        <f>F50*G50</f>
        <v>0</v>
      </c>
      <c r="K50" s="30" t="s">
        <v>60</v>
      </c>
      <c r="Z50" s="29">
        <f>IF(AQ50="5",BJ50,0)</f>
        <v>0</v>
      </c>
      <c r="AB50" s="29">
        <f>IF(AQ50="1",BH50,0)</f>
        <v>0</v>
      </c>
      <c r="AC50" s="29">
        <f>IF(AQ50="1",BI50,0)</f>
        <v>0</v>
      </c>
      <c r="AD50" s="29">
        <f>IF(AQ50="7",BH50,0)</f>
        <v>0</v>
      </c>
      <c r="AE50" s="29">
        <f>IF(AQ50="7",BI50,0)</f>
        <v>0</v>
      </c>
      <c r="AF50" s="29">
        <f>IF(AQ50="2",BH50,0)</f>
        <v>0</v>
      </c>
      <c r="AG50" s="29">
        <f>IF(AQ50="2",BI50,0)</f>
        <v>0</v>
      </c>
      <c r="AH50" s="29">
        <f>IF(AQ50="0",BJ50,0)</f>
        <v>0</v>
      </c>
      <c r="AI50" s="11" t="s">
        <v>55</v>
      </c>
      <c r="AJ50" s="29">
        <f>IF(AN50=0,J50,0)</f>
        <v>0</v>
      </c>
      <c r="AK50" s="29">
        <f>IF(AN50=12,J50,0)</f>
        <v>0</v>
      </c>
      <c r="AL50" s="29">
        <f>IF(AN50=21,J50,0)</f>
        <v>0</v>
      </c>
      <c r="AN50" s="29">
        <v>21</v>
      </c>
      <c r="AO50" s="29">
        <f>G50*0</f>
        <v>0</v>
      </c>
      <c r="AP50" s="29">
        <f>G50*(1-0)</f>
        <v>0</v>
      </c>
      <c r="AQ50" s="31" t="s">
        <v>56</v>
      </c>
      <c r="AV50" s="29">
        <f>AW50+AX50</f>
        <v>0</v>
      </c>
      <c r="AW50" s="29">
        <f>F50*AO50</f>
        <v>0</v>
      </c>
      <c r="AX50" s="29">
        <f>F50*AP50</f>
        <v>0</v>
      </c>
      <c r="AY50" s="31" t="s">
        <v>130</v>
      </c>
      <c r="AZ50" s="31" t="s">
        <v>112</v>
      </c>
      <c r="BA50" s="11" t="s">
        <v>63</v>
      </c>
      <c r="BC50" s="29">
        <f>AW50+AX50</f>
        <v>0</v>
      </c>
      <c r="BD50" s="29">
        <f>G50/(100-BE50)*100</f>
        <v>0</v>
      </c>
      <c r="BE50" s="29">
        <v>0</v>
      </c>
      <c r="BF50" s="29">
        <f>50</f>
        <v>50</v>
      </c>
      <c r="BH50" s="29">
        <f>F50*AO50</f>
        <v>0</v>
      </c>
      <c r="BI50" s="29">
        <f>F50*AP50</f>
        <v>0</v>
      </c>
      <c r="BJ50" s="29">
        <f>F50*G50</f>
        <v>0</v>
      </c>
      <c r="BK50" s="29"/>
      <c r="BL50" s="29">
        <v>13</v>
      </c>
      <c r="BW50" s="29">
        <v>21</v>
      </c>
      <c r="BX50" s="5" t="s">
        <v>128</v>
      </c>
    </row>
    <row r="51" spans="1:76" ht="14.4" x14ac:dyDescent="0.3">
      <c r="A51" s="32"/>
      <c r="C51" s="33" t="s">
        <v>131</v>
      </c>
      <c r="D51" s="33" t="s">
        <v>114</v>
      </c>
      <c r="F51" s="34">
        <v>3.2519999999999998</v>
      </c>
      <c r="K51" s="35"/>
    </row>
    <row r="52" spans="1:76" ht="14.4" x14ac:dyDescent="0.3">
      <c r="A52" s="32"/>
      <c r="C52" s="33" t="s">
        <v>132</v>
      </c>
      <c r="D52" s="33" t="s">
        <v>116</v>
      </c>
      <c r="F52" s="34">
        <v>3.2349999999999999</v>
      </c>
      <c r="K52" s="35"/>
    </row>
    <row r="53" spans="1:76" ht="14.4" x14ac:dyDescent="0.3">
      <c r="A53" s="32"/>
      <c r="C53" s="33" t="s">
        <v>133</v>
      </c>
      <c r="D53" s="33" t="s">
        <v>134</v>
      </c>
      <c r="F53" s="34">
        <v>7.4375</v>
      </c>
      <c r="K53" s="35"/>
    </row>
    <row r="54" spans="1:76" ht="14.4" x14ac:dyDescent="0.3">
      <c r="A54" s="25" t="s">
        <v>51</v>
      </c>
      <c r="B54" s="26" t="s">
        <v>135</v>
      </c>
      <c r="C54" s="143" t="s">
        <v>136</v>
      </c>
      <c r="D54" s="144"/>
      <c r="E54" s="27" t="s">
        <v>4</v>
      </c>
      <c r="F54" s="27" t="s">
        <v>4</v>
      </c>
      <c r="G54" s="27" t="s">
        <v>4</v>
      </c>
      <c r="H54" s="1">
        <f>SUM(H55:H59)</f>
        <v>0</v>
      </c>
      <c r="I54" s="1">
        <f>SUM(I55:I59)</f>
        <v>0</v>
      </c>
      <c r="J54" s="1">
        <f>SUM(J55:J59)</f>
        <v>0</v>
      </c>
      <c r="K54" s="28" t="s">
        <v>51</v>
      </c>
      <c r="AI54" s="11" t="s">
        <v>55</v>
      </c>
      <c r="AS54" s="1">
        <f>SUM(AJ55:AJ59)</f>
        <v>0</v>
      </c>
      <c r="AT54" s="1">
        <f>SUM(AK55:AK59)</f>
        <v>0</v>
      </c>
      <c r="AU54" s="1">
        <f>SUM(AL55:AL59)</f>
        <v>0</v>
      </c>
    </row>
    <row r="55" spans="1:76" ht="14.4" x14ac:dyDescent="0.3">
      <c r="A55" s="2" t="s">
        <v>137</v>
      </c>
      <c r="B55" s="3" t="s">
        <v>138</v>
      </c>
      <c r="C55" s="87" t="s">
        <v>139</v>
      </c>
      <c r="D55" s="84"/>
      <c r="E55" s="3" t="s">
        <v>129</v>
      </c>
      <c r="F55" s="29">
        <v>71.891999999999996</v>
      </c>
      <c r="G55" s="29">
        <v>0</v>
      </c>
      <c r="H55" s="29">
        <f>F55*AO55</f>
        <v>0</v>
      </c>
      <c r="I55" s="29">
        <f>F55*AP55</f>
        <v>0</v>
      </c>
      <c r="J55" s="29">
        <f>F55*G55</f>
        <v>0</v>
      </c>
      <c r="K55" s="30" t="s">
        <v>60</v>
      </c>
      <c r="Z55" s="29">
        <f>IF(AQ55="5",BJ55,0)</f>
        <v>0</v>
      </c>
      <c r="AB55" s="29">
        <f>IF(AQ55="1",BH55,0)</f>
        <v>0</v>
      </c>
      <c r="AC55" s="29">
        <f>IF(AQ55="1",BI55,0)</f>
        <v>0</v>
      </c>
      <c r="AD55" s="29">
        <f>IF(AQ55="7",BH55,0)</f>
        <v>0</v>
      </c>
      <c r="AE55" s="29">
        <f>IF(AQ55="7",BI55,0)</f>
        <v>0</v>
      </c>
      <c r="AF55" s="29">
        <f>IF(AQ55="2",BH55,0)</f>
        <v>0</v>
      </c>
      <c r="AG55" s="29">
        <f>IF(AQ55="2",BI55,0)</f>
        <v>0</v>
      </c>
      <c r="AH55" s="29">
        <f>IF(AQ55="0",BJ55,0)</f>
        <v>0</v>
      </c>
      <c r="AI55" s="11" t="s">
        <v>55</v>
      </c>
      <c r="AJ55" s="29">
        <f>IF(AN55=0,J55,0)</f>
        <v>0</v>
      </c>
      <c r="AK55" s="29">
        <f>IF(AN55=12,J55,0)</f>
        <v>0</v>
      </c>
      <c r="AL55" s="29">
        <f>IF(AN55=21,J55,0)</f>
        <v>0</v>
      </c>
      <c r="AN55" s="29">
        <v>21</v>
      </c>
      <c r="AO55" s="29">
        <f>G55*0</f>
        <v>0</v>
      </c>
      <c r="AP55" s="29">
        <f>G55*(1-0)</f>
        <v>0</v>
      </c>
      <c r="AQ55" s="31" t="s">
        <v>56</v>
      </c>
      <c r="AV55" s="29">
        <f>AW55+AX55</f>
        <v>0</v>
      </c>
      <c r="AW55" s="29">
        <f>F55*AO55</f>
        <v>0</v>
      </c>
      <c r="AX55" s="29">
        <f>F55*AP55</f>
        <v>0</v>
      </c>
      <c r="AY55" s="31" t="s">
        <v>140</v>
      </c>
      <c r="AZ55" s="31" t="s">
        <v>112</v>
      </c>
      <c r="BA55" s="11" t="s">
        <v>63</v>
      </c>
      <c r="BC55" s="29">
        <f>AW55+AX55</f>
        <v>0</v>
      </c>
      <c r="BD55" s="29">
        <f>G55/(100-BE55)*100</f>
        <v>0</v>
      </c>
      <c r="BE55" s="29">
        <v>0</v>
      </c>
      <c r="BF55" s="29">
        <f>55</f>
        <v>55</v>
      </c>
      <c r="BH55" s="29">
        <f>F55*AO55</f>
        <v>0</v>
      </c>
      <c r="BI55" s="29">
        <f>F55*AP55</f>
        <v>0</v>
      </c>
      <c r="BJ55" s="29">
        <f>F55*G55</f>
        <v>0</v>
      </c>
      <c r="BK55" s="29"/>
      <c r="BL55" s="29">
        <v>16</v>
      </c>
      <c r="BW55" s="29">
        <v>21</v>
      </c>
      <c r="BX55" s="5" t="s">
        <v>139</v>
      </c>
    </row>
    <row r="56" spans="1:76" ht="14.4" x14ac:dyDescent="0.3">
      <c r="A56" s="32"/>
      <c r="C56" s="33" t="s">
        <v>141</v>
      </c>
      <c r="D56" s="33" t="s">
        <v>142</v>
      </c>
      <c r="F56" s="34">
        <v>13.9245</v>
      </c>
      <c r="K56" s="35"/>
    </row>
    <row r="57" spans="1:76" ht="14.4" x14ac:dyDescent="0.3">
      <c r="A57" s="32"/>
      <c r="C57" s="33" t="s">
        <v>143</v>
      </c>
      <c r="D57" s="33" t="s">
        <v>144</v>
      </c>
      <c r="F57" s="34">
        <v>30.1905</v>
      </c>
      <c r="K57" s="35"/>
    </row>
    <row r="58" spans="1:76" ht="14.4" x14ac:dyDescent="0.3">
      <c r="A58" s="32"/>
      <c r="C58" s="33" t="s">
        <v>145</v>
      </c>
      <c r="D58" s="33" t="s">
        <v>51</v>
      </c>
      <c r="F58" s="34">
        <v>27.777000000000001</v>
      </c>
      <c r="K58" s="35"/>
    </row>
    <row r="59" spans="1:76" ht="14.4" x14ac:dyDescent="0.3">
      <c r="A59" s="2" t="s">
        <v>106</v>
      </c>
      <c r="B59" s="3" t="s">
        <v>146</v>
      </c>
      <c r="C59" s="87" t="s">
        <v>147</v>
      </c>
      <c r="D59" s="84"/>
      <c r="E59" s="3" t="s">
        <v>129</v>
      </c>
      <c r="F59" s="29">
        <v>71.891999999999996</v>
      </c>
      <c r="G59" s="29">
        <v>0</v>
      </c>
      <c r="H59" s="29">
        <f>F59*AO59</f>
        <v>0</v>
      </c>
      <c r="I59" s="29">
        <f>F59*AP59</f>
        <v>0</v>
      </c>
      <c r="J59" s="29">
        <f>F59*G59</f>
        <v>0</v>
      </c>
      <c r="K59" s="30" t="s">
        <v>60</v>
      </c>
      <c r="Z59" s="29">
        <f>IF(AQ59="5",BJ59,0)</f>
        <v>0</v>
      </c>
      <c r="AB59" s="29">
        <f>IF(AQ59="1",BH59,0)</f>
        <v>0</v>
      </c>
      <c r="AC59" s="29">
        <f>IF(AQ59="1",BI59,0)</f>
        <v>0</v>
      </c>
      <c r="AD59" s="29">
        <f>IF(AQ59="7",BH59,0)</f>
        <v>0</v>
      </c>
      <c r="AE59" s="29">
        <f>IF(AQ59="7",BI59,0)</f>
        <v>0</v>
      </c>
      <c r="AF59" s="29">
        <f>IF(AQ59="2",BH59,0)</f>
        <v>0</v>
      </c>
      <c r="AG59" s="29">
        <f>IF(AQ59="2",BI59,0)</f>
        <v>0</v>
      </c>
      <c r="AH59" s="29">
        <f>IF(AQ59="0",BJ59,0)</f>
        <v>0</v>
      </c>
      <c r="AI59" s="11" t="s">
        <v>55</v>
      </c>
      <c r="AJ59" s="29">
        <f>IF(AN59=0,J59,0)</f>
        <v>0</v>
      </c>
      <c r="AK59" s="29">
        <f>IF(AN59=12,J59,0)</f>
        <v>0</v>
      </c>
      <c r="AL59" s="29">
        <f>IF(AN59=21,J59,0)</f>
        <v>0</v>
      </c>
      <c r="AN59" s="29">
        <v>21</v>
      </c>
      <c r="AO59" s="29">
        <f>G59*0</f>
        <v>0</v>
      </c>
      <c r="AP59" s="29">
        <f>G59*(1-0)</f>
        <v>0</v>
      </c>
      <c r="AQ59" s="31" t="s">
        <v>56</v>
      </c>
      <c r="AV59" s="29">
        <f>AW59+AX59</f>
        <v>0</v>
      </c>
      <c r="AW59" s="29">
        <f>F59*AO59</f>
        <v>0</v>
      </c>
      <c r="AX59" s="29">
        <f>F59*AP59</f>
        <v>0</v>
      </c>
      <c r="AY59" s="31" t="s">
        <v>140</v>
      </c>
      <c r="AZ59" s="31" t="s">
        <v>112</v>
      </c>
      <c r="BA59" s="11" t="s">
        <v>63</v>
      </c>
      <c r="BC59" s="29">
        <f>AW59+AX59</f>
        <v>0</v>
      </c>
      <c r="BD59" s="29">
        <f>G59/(100-BE59)*100</f>
        <v>0</v>
      </c>
      <c r="BE59" s="29">
        <v>0</v>
      </c>
      <c r="BF59" s="29">
        <f>59</f>
        <v>59</v>
      </c>
      <c r="BH59" s="29">
        <f>F59*AO59</f>
        <v>0</v>
      </c>
      <c r="BI59" s="29">
        <f>F59*AP59</f>
        <v>0</v>
      </c>
      <c r="BJ59" s="29">
        <f>F59*G59</f>
        <v>0</v>
      </c>
      <c r="BK59" s="29"/>
      <c r="BL59" s="29">
        <v>16</v>
      </c>
      <c r="BW59" s="29">
        <v>21</v>
      </c>
      <c r="BX59" s="5" t="s">
        <v>147</v>
      </c>
    </row>
    <row r="60" spans="1:76" ht="14.4" x14ac:dyDescent="0.3">
      <c r="A60" s="32"/>
      <c r="C60" s="33" t="s">
        <v>141</v>
      </c>
      <c r="D60" s="33" t="s">
        <v>142</v>
      </c>
      <c r="F60" s="34">
        <v>13.9245</v>
      </c>
      <c r="K60" s="35"/>
    </row>
    <row r="61" spans="1:76" ht="14.4" x14ac:dyDescent="0.3">
      <c r="A61" s="32"/>
      <c r="C61" s="33" t="s">
        <v>143</v>
      </c>
      <c r="D61" s="33" t="s">
        <v>144</v>
      </c>
      <c r="F61" s="34">
        <v>30.1905</v>
      </c>
      <c r="K61" s="35"/>
    </row>
    <row r="62" spans="1:76" ht="14.4" x14ac:dyDescent="0.3">
      <c r="A62" s="32"/>
      <c r="C62" s="33" t="s">
        <v>145</v>
      </c>
      <c r="D62" s="33" t="s">
        <v>51</v>
      </c>
      <c r="F62" s="34">
        <v>27.777000000000001</v>
      </c>
      <c r="K62" s="35"/>
    </row>
    <row r="63" spans="1:76" ht="14.4" x14ac:dyDescent="0.3">
      <c r="A63" s="25" t="s">
        <v>51</v>
      </c>
      <c r="B63" s="26" t="s">
        <v>148</v>
      </c>
      <c r="C63" s="143" t="s">
        <v>149</v>
      </c>
      <c r="D63" s="144"/>
      <c r="E63" s="27" t="s">
        <v>4</v>
      </c>
      <c r="F63" s="27" t="s">
        <v>4</v>
      </c>
      <c r="G63" s="27" t="s">
        <v>4</v>
      </c>
      <c r="H63" s="1">
        <f>SUM(H64:H68)</f>
        <v>0</v>
      </c>
      <c r="I63" s="1">
        <f>SUM(I64:I68)</f>
        <v>0</v>
      </c>
      <c r="J63" s="1">
        <f>SUM(J64:J68)</f>
        <v>0</v>
      </c>
      <c r="K63" s="28" t="s">
        <v>51</v>
      </c>
      <c r="AI63" s="11" t="s">
        <v>55</v>
      </c>
      <c r="AS63" s="1">
        <f>SUM(AJ64:AJ68)</f>
        <v>0</v>
      </c>
      <c r="AT63" s="1">
        <f>SUM(AK64:AK68)</f>
        <v>0</v>
      </c>
      <c r="AU63" s="1">
        <f>SUM(AL64:AL68)</f>
        <v>0</v>
      </c>
    </row>
    <row r="64" spans="1:76" ht="14.4" x14ac:dyDescent="0.3">
      <c r="A64" s="2" t="s">
        <v>150</v>
      </c>
      <c r="B64" s="3" t="s">
        <v>151</v>
      </c>
      <c r="C64" s="87" t="s">
        <v>152</v>
      </c>
      <c r="D64" s="84"/>
      <c r="E64" s="3" t="s">
        <v>59</v>
      </c>
      <c r="F64" s="29">
        <v>58.15155</v>
      </c>
      <c r="G64" s="29">
        <v>0</v>
      </c>
      <c r="H64" s="29">
        <f>F64*AO64</f>
        <v>0</v>
      </c>
      <c r="I64" s="29">
        <f>F64*AP64</f>
        <v>0</v>
      </c>
      <c r="J64" s="29">
        <f>F64*G64</f>
        <v>0</v>
      </c>
      <c r="K64" s="30" t="s">
        <v>60</v>
      </c>
      <c r="Z64" s="29">
        <f>IF(AQ64="5",BJ64,0)</f>
        <v>0</v>
      </c>
      <c r="AB64" s="29">
        <f>IF(AQ64="1",BH64,0)</f>
        <v>0</v>
      </c>
      <c r="AC64" s="29">
        <f>IF(AQ64="1",BI64,0)</f>
        <v>0</v>
      </c>
      <c r="AD64" s="29">
        <f>IF(AQ64="7",BH64,0)</f>
        <v>0</v>
      </c>
      <c r="AE64" s="29">
        <f>IF(AQ64="7",BI64,0)</f>
        <v>0</v>
      </c>
      <c r="AF64" s="29">
        <f>IF(AQ64="2",BH64,0)</f>
        <v>0</v>
      </c>
      <c r="AG64" s="29">
        <f>IF(AQ64="2",BI64,0)</f>
        <v>0</v>
      </c>
      <c r="AH64" s="29">
        <f>IF(AQ64="0",BJ64,0)</f>
        <v>0</v>
      </c>
      <c r="AI64" s="11" t="s">
        <v>55</v>
      </c>
      <c r="AJ64" s="29">
        <f>IF(AN64=0,J64,0)</f>
        <v>0</v>
      </c>
      <c r="AK64" s="29">
        <f>IF(AN64=12,J64,0)</f>
        <v>0</v>
      </c>
      <c r="AL64" s="29">
        <f>IF(AN64=21,J64,0)</f>
        <v>0</v>
      </c>
      <c r="AN64" s="29">
        <v>21</v>
      </c>
      <c r="AO64" s="29">
        <f>G64*0.244424347</f>
        <v>0</v>
      </c>
      <c r="AP64" s="29">
        <f>G64*(1-0.244424347)</f>
        <v>0</v>
      </c>
      <c r="AQ64" s="31" t="s">
        <v>56</v>
      </c>
      <c r="AV64" s="29">
        <f>AW64+AX64</f>
        <v>0</v>
      </c>
      <c r="AW64" s="29">
        <f>F64*AO64</f>
        <v>0</v>
      </c>
      <c r="AX64" s="29">
        <f>F64*AP64</f>
        <v>0</v>
      </c>
      <c r="AY64" s="31" t="s">
        <v>153</v>
      </c>
      <c r="AZ64" s="31" t="s">
        <v>154</v>
      </c>
      <c r="BA64" s="11" t="s">
        <v>63</v>
      </c>
      <c r="BC64" s="29">
        <f>AW64+AX64</f>
        <v>0</v>
      </c>
      <c r="BD64" s="29">
        <f>G64/(100-BE64)*100</f>
        <v>0</v>
      </c>
      <c r="BE64" s="29">
        <v>0</v>
      </c>
      <c r="BF64" s="29">
        <f>64</f>
        <v>64</v>
      </c>
      <c r="BH64" s="29">
        <f>F64*AO64</f>
        <v>0</v>
      </c>
      <c r="BI64" s="29">
        <f>F64*AP64</f>
        <v>0</v>
      </c>
      <c r="BJ64" s="29">
        <f>F64*G64</f>
        <v>0</v>
      </c>
      <c r="BK64" s="29"/>
      <c r="BL64" s="29">
        <v>31</v>
      </c>
      <c r="BW64" s="29">
        <v>21</v>
      </c>
      <c r="BX64" s="5" t="s">
        <v>152</v>
      </c>
    </row>
    <row r="65" spans="1:76" ht="14.4" x14ac:dyDescent="0.3">
      <c r="A65" s="32"/>
      <c r="C65" s="33" t="s">
        <v>155</v>
      </c>
      <c r="D65" s="33" t="s">
        <v>82</v>
      </c>
      <c r="F65" s="34">
        <v>11.059799999999999</v>
      </c>
      <c r="K65" s="35"/>
    </row>
    <row r="66" spans="1:76" ht="14.4" x14ac:dyDescent="0.3">
      <c r="A66" s="32"/>
      <c r="C66" s="33" t="s">
        <v>156</v>
      </c>
      <c r="D66" s="33" t="s">
        <v>84</v>
      </c>
      <c r="F66" s="34">
        <v>20.091750000000001</v>
      </c>
      <c r="K66" s="35"/>
    </row>
    <row r="67" spans="1:76" ht="14.4" x14ac:dyDescent="0.3">
      <c r="A67" s="32"/>
      <c r="C67" s="33" t="s">
        <v>157</v>
      </c>
      <c r="D67" s="33" t="s">
        <v>86</v>
      </c>
      <c r="F67" s="34">
        <v>27</v>
      </c>
      <c r="K67" s="35"/>
    </row>
    <row r="68" spans="1:76" ht="26.4" x14ac:dyDescent="0.3">
      <c r="A68" s="2" t="s">
        <v>125</v>
      </c>
      <c r="B68" s="3" t="s">
        <v>158</v>
      </c>
      <c r="C68" s="87" t="s">
        <v>159</v>
      </c>
      <c r="D68" s="84"/>
      <c r="E68" s="3" t="s">
        <v>59</v>
      </c>
      <c r="F68" s="29">
        <v>27.648</v>
      </c>
      <c r="G68" s="29">
        <v>0</v>
      </c>
      <c r="H68" s="29">
        <f>F68*AO68</f>
        <v>0</v>
      </c>
      <c r="I68" s="29">
        <f>F68*AP68</f>
        <v>0</v>
      </c>
      <c r="J68" s="29">
        <f>F68*G68</f>
        <v>0</v>
      </c>
      <c r="K68" s="30" t="s">
        <v>60</v>
      </c>
      <c r="Z68" s="29">
        <f>IF(AQ68="5",BJ68,0)</f>
        <v>0</v>
      </c>
      <c r="AB68" s="29">
        <f>IF(AQ68="1",BH68,0)</f>
        <v>0</v>
      </c>
      <c r="AC68" s="29">
        <f>IF(AQ68="1",BI68,0)</f>
        <v>0</v>
      </c>
      <c r="AD68" s="29">
        <f>IF(AQ68="7",BH68,0)</f>
        <v>0</v>
      </c>
      <c r="AE68" s="29">
        <f>IF(AQ68="7",BI68,0)</f>
        <v>0</v>
      </c>
      <c r="AF68" s="29">
        <f>IF(AQ68="2",BH68,0)</f>
        <v>0</v>
      </c>
      <c r="AG68" s="29">
        <f>IF(AQ68="2",BI68,0)</f>
        <v>0</v>
      </c>
      <c r="AH68" s="29">
        <f>IF(AQ68="0",BJ68,0)</f>
        <v>0</v>
      </c>
      <c r="AI68" s="11" t="s">
        <v>55</v>
      </c>
      <c r="AJ68" s="29">
        <f>IF(AN68=0,J68,0)</f>
        <v>0</v>
      </c>
      <c r="AK68" s="29">
        <f>IF(AN68=12,J68,0)</f>
        <v>0</v>
      </c>
      <c r="AL68" s="29">
        <f>IF(AN68=21,J68,0)</f>
        <v>0</v>
      </c>
      <c r="AN68" s="29">
        <v>21</v>
      </c>
      <c r="AO68" s="29">
        <f>G68*0.26909487</f>
        <v>0</v>
      </c>
      <c r="AP68" s="29">
        <f>G68*(1-0.26909487)</f>
        <v>0</v>
      </c>
      <c r="AQ68" s="31" t="s">
        <v>56</v>
      </c>
      <c r="AV68" s="29">
        <f>AW68+AX68</f>
        <v>0</v>
      </c>
      <c r="AW68" s="29">
        <f>F68*AO68</f>
        <v>0</v>
      </c>
      <c r="AX68" s="29">
        <f>F68*AP68</f>
        <v>0</v>
      </c>
      <c r="AY68" s="31" t="s">
        <v>153</v>
      </c>
      <c r="AZ68" s="31" t="s">
        <v>154</v>
      </c>
      <c r="BA68" s="11" t="s">
        <v>63</v>
      </c>
      <c r="BC68" s="29">
        <f>AW68+AX68</f>
        <v>0</v>
      </c>
      <c r="BD68" s="29">
        <f>G68/(100-BE68)*100</f>
        <v>0</v>
      </c>
      <c r="BE68" s="29">
        <v>0</v>
      </c>
      <c r="BF68" s="29">
        <f>68</f>
        <v>68</v>
      </c>
      <c r="BH68" s="29">
        <f>F68*AO68</f>
        <v>0</v>
      </c>
      <c r="BI68" s="29">
        <f>F68*AP68</f>
        <v>0</v>
      </c>
      <c r="BJ68" s="29">
        <f>F68*G68</f>
        <v>0</v>
      </c>
      <c r="BK68" s="29"/>
      <c r="BL68" s="29">
        <v>31</v>
      </c>
      <c r="BW68" s="29">
        <v>21</v>
      </c>
      <c r="BX68" s="5" t="s">
        <v>159</v>
      </c>
    </row>
    <row r="69" spans="1:76" ht="14.4" x14ac:dyDescent="0.3">
      <c r="A69" s="32"/>
      <c r="C69" s="33" t="s">
        <v>160</v>
      </c>
      <c r="D69" s="33" t="s">
        <v>161</v>
      </c>
      <c r="F69" s="34">
        <v>27.648</v>
      </c>
      <c r="K69" s="35"/>
    </row>
    <row r="70" spans="1:76" ht="14.4" x14ac:dyDescent="0.3">
      <c r="A70" s="25" t="s">
        <v>51</v>
      </c>
      <c r="B70" s="26" t="s">
        <v>162</v>
      </c>
      <c r="C70" s="143" t="s">
        <v>163</v>
      </c>
      <c r="D70" s="144"/>
      <c r="E70" s="27" t="s">
        <v>4</v>
      </c>
      <c r="F70" s="27" t="s">
        <v>4</v>
      </c>
      <c r="G70" s="27" t="s">
        <v>4</v>
      </c>
      <c r="H70" s="1">
        <f>SUM(H71:H79)</f>
        <v>0</v>
      </c>
      <c r="I70" s="1">
        <f>SUM(I71:I79)</f>
        <v>0</v>
      </c>
      <c r="J70" s="1">
        <f>SUM(J71:J79)</f>
        <v>0</v>
      </c>
      <c r="K70" s="28" t="s">
        <v>51</v>
      </c>
      <c r="AI70" s="11" t="s">
        <v>55</v>
      </c>
      <c r="AS70" s="1">
        <f>SUM(AJ71:AJ79)</f>
        <v>0</v>
      </c>
      <c r="AT70" s="1">
        <f>SUM(AK71:AK79)</f>
        <v>0</v>
      </c>
      <c r="AU70" s="1">
        <f>SUM(AL71:AL79)</f>
        <v>0</v>
      </c>
    </row>
    <row r="71" spans="1:76" ht="26.4" x14ac:dyDescent="0.3">
      <c r="A71" s="2" t="s">
        <v>164</v>
      </c>
      <c r="B71" s="3" t="s">
        <v>165</v>
      </c>
      <c r="C71" s="87" t="s">
        <v>166</v>
      </c>
      <c r="D71" s="84"/>
      <c r="E71" s="3" t="s">
        <v>59</v>
      </c>
      <c r="F71" s="29">
        <v>193.83850000000001</v>
      </c>
      <c r="G71" s="29">
        <v>0</v>
      </c>
      <c r="H71" s="29">
        <f>F71*AO71</f>
        <v>0</v>
      </c>
      <c r="I71" s="29">
        <f>F71*AP71</f>
        <v>0</v>
      </c>
      <c r="J71" s="29">
        <f>F71*G71</f>
        <v>0</v>
      </c>
      <c r="K71" s="30" t="s">
        <v>60</v>
      </c>
      <c r="Z71" s="29">
        <f>IF(AQ71="5",BJ71,0)</f>
        <v>0</v>
      </c>
      <c r="AB71" s="29">
        <f>IF(AQ71="1",BH71,0)</f>
        <v>0</v>
      </c>
      <c r="AC71" s="29">
        <f>IF(AQ71="1",BI71,0)</f>
        <v>0</v>
      </c>
      <c r="AD71" s="29">
        <f>IF(AQ71="7",BH71,0)</f>
        <v>0</v>
      </c>
      <c r="AE71" s="29">
        <f>IF(AQ71="7",BI71,0)</f>
        <v>0</v>
      </c>
      <c r="AF71" s="29">
        <f>IF(AQ71="2",BH71,0)</f>
        <v>0</v>
      </c>
      <c r="AG71" s="29">
        <f>IF(AQ71="2",BI71,0)</f>
        <v>0</v>
      </c>
      <c r="AH71" s="29">
        <f>IF(AQ71="0",BJ71,0)</f>
        <v>0</v>
      </c>
      <c r="AI71" s="11" t="s">
        <v>55</v>
      </c>
      <c r="AJ71" s="29">
        <f>IF(AN71=0,J71,0)</f>
        <v>0</v>
      </c>
      <c r="AK71" s="29">
        <f>IF(AN71=12,J71,0)</f>
        <v>0</v>
      </c>
      <c r="AL71" s="29">
        <f>IF(AN71=21,J71,0)</f>
        <v>0</v>
      </c>
      <c r="AN71" s="29">
        <v>21</v>
      </c>
      <c r="AO71" s="29">
        <f>G71*0.351920572</f>
        <v>0</v>
      </c>
      <c r="AP71" s="29">
        <f>G71*(1-0.351920572)</f>
        <v>0</v>
      </c>
      <c r="AQ71" s="31" t="s">
        <v>56</v>
      </c>
      <c r="AV71" s="29">
        <f>AW71+AX71</f>
        <v>0</v>
      </c>
      <c r="AW71" s="29">
        <f>F71*AO71</f>
        <v>0</v>
      </c>
      <c r="AX71" s="29">
        <f>F71*AP71</f>
        <v>0</v>
      </c>
      <c r="AY71" s="31" t="s">
        <v>167</v>
      </c>
      <c r="AZ71" s="31" t="s">
        <v>168</v>
      </c>
      <c r="BA71" s="11" t="s">
        <v>63</v>
      </c>
      <c r="BC71" s="29">
        <f>AW71+AX71</f>
        <v>0</v>
      </c>
      <c r="BD71" s="29">
        <f>G71/(100-BE71)*100</f>
        <v>0</v>
      </c>
      <c r="BE71" s="29">
        <v>0</v>
      </c>
      <c r="BF71" s="29">
        <f>71</f>
        <v>71</v>
      </c>
      <c r="BH71" s="29">
        <f>F71*AO71</f>
        <v>0</v>
      </c>
      <c r="BI71" s="29">
        <f>F71*AP71</f>
        <v>0</v>
      </c>
      <c r="BJ71" s="29">
        <f>F71*G71</f>
        <v>0</v>
      </c>
      <c r="BK71" s="29"/>
      <c r="BL71" s="29">
        <v>62</v>
      </c>
      <c r="BW71" s="29">
        <v>21</v>
      </c>
      <c r="BX71" s="5" t="s">
        <v>166</v>
      </c>
    </row>
    <row r="72" spans="1:76" ht="14.4" x14ac:dyDescent="0.3">
      <c r="A72" s="32"/>
      <c r="C72" s="33" t="s">
        <v>81</v>
      </c>
      <c r="D72" s="33" t="s">
        <v>82</v>
      </c>
      <c r="F72" s="34">
        <v>36.866</v>
      </c>
      <c r="K72" s="35"/>
    </row>
    <row r="73" spans="1:76" ht="14.4" x14ac:dyDescent="0.3">
      <c r="A73" s="32"/>
      <c r="C73" s="33" t="s">
        <v>83</v>
      </c>
      <c r="D73" s="33" t="s">
        <v>84</v>
      </c>
      <c r="F73" s="34">
        <v>66.972499999999997</v>
      </c>
      <c r="K73" s="35"/>
    </row>
    <row r="74" spans="1:76" ht="14.4" x14ac:dyDescent="0.3">
      <c r="A74" s="32"/>
      <c r="C74" s="33" t="s">
        <v>85</v>
      </c>
      <c r="D74" s="33" t="s">
        <v>86</v>
      </c>
      <c r="F74" s="34">
        <v>90</v>
      </c>
      <c r="K74" s="35"/>
    </row>
    <row r="75" spans="1:76" ht="14.4" x14ac:dyDescent="0.3">
      <c r="A75" s="2" t="s">
        <v>169</v>
      </c>
      <c r="B75" s="3" t="s">
        <v>170</v>
      </c>
      <c r="C75" s="87" t="s">
        <v>171</v>
      </c>
      <c r="D75" s="84"/>
      <c r="E75" s="3" t="s">
        <v>59</v>
      </c>
      <c r="F75" s="29">
        <v>14.952</v>
      </c>
      <c r="G75" s="29">
        <v>0</v>
      </c>
      <c r="H75" s="29">
        <f>F75*AO75</f>
        <v>0</v>
      </c>
      <c r="I75" s="29">
        <f>F75*AP75</f>
        <v>0</v>
      </c>
      <c r="J75" s="29">
        <f>F75*G75</f>
        <v>0</v>
      </c>
      <c r="K75" s="30" t="s">
        <v>60</v>
      </c>
      <c r="Z75" s="29">
        <f>IF(AQ75="5",BJ75,0)</f>
        <v>0</v>
      </c>
      <c r="AB75" s="29">
        <f>IF(AQ75="1",BH75,0)</f>
        <v>0</v>
      </c>
      <c r="AC75" s="29">
        <f>IF(AQ75="1",BI75,0)</f>
        <v>0</v>
      </c>
      <c r="AD75" s="29">
        <f>IF(AQ75="7",BH75,0)</f>
        <v>0</v>
      </c>
      <c r="AE75" s="29">
        <f>IF(AQ75="7",BI75,0)</f>
        <v>0</v>
      </c>
      <c r="AF75" s="29">
        <f>IF(AQ75="2",BH75,0)</f>
        <v>0</v>
      </c>
      <c r="AG75" s="29">
        <f>IF(AQ75="2",BI75,0)</f>
        <v>0</v>
      </c>
      <c r="AH75" s="29">
        <f>IF(AQ75="0",BJ75,0)</f>
        <v>0</v>
      </c>
      <c r="AI75" s="11" t="s">
        <v>55</v>
      </c>
      <c r="AJ75" s="29">
        <f>IF(AN75=0,J75,0)</f>
        <v>0</v>
      </c>
      <c r="AK75" s="29">
        <f>IF(AN75=12,J75,0)</f>
        <v>0</v>
      </c>
      <c r="AL75" s="29">
        <f>IF(AN75=21,J75,0)</f>
        <v>0</v>
      </c>
      <c r="AN75" s="29">
        <v>21</v>
      </c>
      <c r="AO75" s="29">
        <f>G75*0</f>
        <v>0</v>
      </c>
      <c r="AP75" s="29">
        <f>G75*(1-0)</f>
        <v>0</v>
      </c>
      <c r="AQ75" s="31" t="s">
        <v>56</v>
      </c>
      <c r="AV75" s="29">
        <f>AW75+AX75</f>
        <v>0</v>
      </c>
      <c r="AW75" s="29">
        <f>F75*AO75</f>
        <v>0</v>
      </c>
      <c r="AX75" s="29">
        <f>F75*AP75</f>
        <v>0</v>
      </c>
      <c r="AY75" s="31" t="s">
        <v>167</v>
      </c>
      <c r="AZ75" s="31" t="s">
        <v>168</v>
      </c>
      <c r="BA75" s="11" t="s">
        <v>63</v>
      </c>
      <c r="BC75" s="29">
        <f>AW75+AX75</f>
        <v>0</v>
      </c>
      <c r="BD75" s="29">
        <f>G75/(100-BE75)*100</f>
        <v>0</v>
      </c>
      <c r="BE75" s="29">
        <v>0</v>
      </c>
      <c r="BF75" s="29">
        <f>75</f>
        <v>75</v>
      </c>
      <c r="BH75" s="29">
        <f>F75*AO75</f>
        <v>0</v>
      </c>
      <c r="BI75" s="29">
        <f>F75*AP75</f>
        <v>0</v>
      </c>
      <c r="BJ75" s="29">
        <f>F75*G75</f>
        <v>0</v>
      </c>
      <c r="BK75" s="29"/>
      <c r="BL75" s="29">
        <v>62</v>
      </c>
      <c r="BW75" s="29">
        <v>21</v>
      </c>
      <c r="BX75" s="5" t="s">
        <v>171</v>
      </c>
    </row>
    <row r="76" spans="1:76" ht="14.4" x14ac:dyDescent="0.3">
      <c r="A76" s="32"/>
      <c r="C76" s="33" t="s">
        <v>172</v>
      </c>
      <c r="D76" s="33" t="s">
        <v>173</v>
      </c>
      <c r="F76" s="34">
        <v>14.952</v>
      </c>
      <c r="K76" s="35"/>
    </row>
    <row r="77" spans="1:76" ht="14.4" x14ac:dyDescent="0.3">
      <c r="A77" s="2" t="s">
        <v>135</v>
      </c>
      <c r="B77" s="3" t="s">
        <v>174</v>
      </c>
      <c r="C77" s="87" t="s">
        <v>175</v>
      </c>
      <c r="D77" s="84"/>
      <c r="E77" s="3" t="s">
        <v>59</v>
      </c>
      <c r="F77" s="29">
        <v>4.74</v>
      </c>
      <c r="G77" s="29">
        <v>0</v>
      </c>
      <c r="H77" s="29">
        <f>F77*AO77</f>
        <v>0</v>
      </c>
      <c r="I77" s="29">
        <f>F77*AP77</f>
        <v>0</v>
      </c>
      <c r="J77" s="29">
        <f>F77*G77</f>
        <v>0</v>
      </c>
      <c r="K77" s="30" t="s">
        <v>60</v>
      </c>
      <c r="Z77" s="29">
        <f>IF(AQ77="5",BJ77,0)</f>
        <v>0</v>
      </c>
      <c r="AB77" s="29">
        <f>IF(AQ77="1",BH77,0)</f>
        <v>0</v>
      </c>
      <c r="AC77" s="29">
        <f>IF(AQ77="1",BI77,0)</f>
        <v>0</v>
      </c>
      <c r="AD77" s="29">
        <f>IF(AQ77="7",BH77,0)</f>
        <v>0</v>
      </c>
      <c r="AE77" s="29">
        <f>IF(AQ77="7",BI77,0)</f>
        <v>0</v>
      </c>
      <c r="AF77" s="29">
        <f>IF(AQ77="2",BH77,0)</f>
        <v>0</v>
      </c>
      <c r="AG77" s="29">
        <f>IF(AQ77="2",BI77,0)</f>
        <v>0</v>
      </c>
      <c r="AH77" s="29">
        <f>IF(AQ77="0",BJ77,0)</f>
        <v>0</v>
      </c>
      <c r="AI77" s="11" t="s">
        <v>55</v>
      </c>
      <c r="AJ77" s="29">
        <f>IF(AN77=0,J77,0)</f>
        <v>0</v>
      </c>
      <c r="AK77" s="29">
        <f>IF(AN77=12,J77,0)</f>
        <v>0</v>
      </c>
      <c r="AL77" s="29">
        <f>IF(AN77=21,J77,0)</f>
        <v>0</v>
      </c>
      <c r="AN77" s="29">
        <v>21</v>
      </c>
      <c r="AO77" s="29">
        <f>G77*0</f>
        <v>0</v>
      </c>
      <c r="AP77" s="29">
        <f>G77*(1-0)</f>
        <v>0</v>
      </c>
      <c r="AQ77" s="31" t="s">
        <v>56</v>
      </c>
      <c r="AV77" s="29">
        <f>AW77+AX77</f>
        <v>0</v>
      </c>
      <c r="AW77" s="29">
        <f>F77*AO77</f>
        <v>0</v>
      </c>
      <c r="AX77" s="29">
        <f>F77*AP77</f>
        <v>0</v>
      </c>
      <c r="AY77" s="31" t="s">
        <v>167</v>
      </c>
      <c r="AZ77" s="31" t="s">
        <v>168</v>
      </c>
      <c r="BA77" s="11" t="s">
        <v>63</v>
      </c>
      <c r="BC77" s="29">
        <f>AW77+AX77</f>
        <v>0</v>
      </c>
      <c r="BD77" s="29">
        <f>G77/(100-BE77)*100</f>
        <v>0</v>
      </c>
      <c r="BE77" s="29">
        <v>0</v>
      </c>
      <c r="BF77" s="29">
        <f>77</f>
        <v>77</v>
      </c>
      <c r="BH77" s="29">
        <f>F77*AO77</f>
        <v>0</v>
      </c>
      <c r="BI77" s="29">
        <f>F77*AP77</f>
        <v>0</v>
      </c>
      <c r="BJ77" s="29">
        <f>F77*G77</f>
        <v>0</v>
      </c>
      <c r="BK77" s="29"/>
      <c r="BL77" s="29">
        <v>62</v>
      </c>
      <c r="BW77" s="29">
        <v>21</v>
      </c>
      <c r="BX77" s="5" t="s">
        <v>175</v>
      </c>
    </row>
    <row r="78" spans="1:76" ht="14.4" x14ac:dyDescent="0.3">
      <c r="A78" s="32"/>
      <c r="C78" s="33" t="s">
        <v>176</v>
      </c>
      <c r="D78" s="33" t="s">
        <v>51</v>
      </c>
      <c r="F78" s="34">
        <v>4.74</v>
      </c>
      <c r="K78" s="35"/>
    </row>
    <row r="79" spans="1:76" ht="14.4" x14ac:dyDescent="0.3">
      <c r="A79" s="2" t="s">
        <v>177</v>
      </c>
      <c r="B79" s="3" t="s">
        <v>174</v>
      </c>
      <c r="C79" s="87" t="s">
        <v>178</v>
      </c>
      <c r="D79" s="84"/>
      <c r="E79" s="3" t="s">
        <v>103</v>
      </c>
      <c r="F79" s="29">
        <v>10</v>
      </c>
      <c r="G79" s="29">
        <v>0</v>
      </c>
      <c r="H79" s="29">
        <f>F79*AO79</f>
        <v>0</v>
      </c>
      <c r="I79" s="29">
        <f>F79*AP79</f>
        <v>0</v>
      </c>
      <c r="J79" s="29">
        <f>F79*G79</f>
        <v>0</v>
      </c>
      <c r="K79" s="30" t="s">
        <v>60</v>
      </c>
      <c r="Z79" s="29">
        <f>IF(AQ79="5",BJ79,0)</f>
        <v>0</v>
      </c>
      <c r="AB79" s="29">
        <f>IF(AQ79="1",BH79,0)</f>
        <v>0</v>
      </c>
      <c r="AC79" s="29">
        <f>IF(AQ79="1",BI79,0)</f>
        <v>0</v>
      </c>
      <c r="AD79" s="29">
        <f>IF(AQ79="7",BH79,0)</f>
        <v>0</v>
      </c>
      <c r="AE79" s="29">
        <f>IF(AQ79="7",BI79,0)</f>
        <v>0</v>
      </c>
      <c r="AF79" s="29">
        <f>IF(AQ79="2",BH79,0)</f>
        <v>0</v>
      </c>
      <c r="AG79" s="29">
        <f>IF(AQ79="2",BI79,0)</f>
        <v>0</v>
      </c>
      <c r="AH79" s="29">
        <f>IF(AQ79="0",BJ79,0)</f>
        <v>0</v>
      </c>
      <c r="AI79" s="11" t="s">
        <v>55</v>
      </c>
      <c r="AJ79" s="29">
        <f>IF(AN79=0,J79,0)</f>
        <v>0</v>
      </c>
      <c r="AK79" s="29">
        <f>IF(AN79=12,J79,0)</f>
        <v>0</v>
      </c>
      <c r="AL79" s="29">
        <f>IF(AN79=21,J79,0)</f>
        <v>0</v>
      </c>
      <c r="AN79" s="29">
        <v>21</v>
      </c>
      <c r="AO79" s="29">
        <f>G79*0</f>
        <v>0</v>
      </c>
      <c r="AP79" s="29">
        <f>G79*(1-0)</f>
        <v>0</v>
      </c>
      <c r="AQ79" s="31" t="s">
        <v>56</v>
      </c>
      <c r="AV79" s="29">
        <f>AW79+AX79</f>
        <v>0</v>
      </c>
      <c r="AW79" s="29">
        <f>F79*AO79</f>
        <v>0</v>
      </c>
      <c r="AX79" s="29">
        <f>F79*AP79</f>
        <v>0</v>
      </c>
      <c r="AY79" s="31" t="s">
        <v>167</v>
      </c>
      <c r="AZ79" s="31" t="s">
        <v>168</v>
      </c>
      <c r="BA79" s="11" t="s">
        <v>63</v>
      </c>
      <c r="BC79" s="29">
        <f>AW79+AX79</f>
        <v>0</v>
      </c>
      <c r="BD79" s="29">
        <f>G79/(100-BE79)*100</f>
        <v>0</v>
      </c>
      <c r="BE79" s="29">
        <v>0</v>
      </c>
      <c r="BF79" s="29">
        <f>79</f>
        <v>79</v>
      </c>
      <c r="BH79" s="29">
        <f>F79*AO79</f>
        <v>0</v>
      </c>
      <c r="BI79" s="29">
        <f>F79*AP79</f>
        <v>0</v>
      </c>
      <c r="BJ79" s="29">
        <f>F79*G79</f>
        <v>0</v>
      </c>
      <c r="BK79" s="29"/>
      <c r="BL79" s="29">
        <v>62</v>
      </c>
      <c r="BW79" s="29">
        <v>21</v>
      </c>
      <c r="BX79" s="5" t="s">
        <v>178</v>
      </c>
    </row>
    <row r="80" spans="1:76" ht="14.4" x14ac:dyDescent="0.3">
      <c r="A80" s="25" t="s">
        <v>51</v>
      </c>
      <c r="B80" s="26" t="s">
        <v>179</v>
      </c>
      <c r="C80" s="143" t="s">
        <v>180</v>
      </c>
      <c r="D80" s="144"/>
      <c r="E80" s="27" t="s">
        <v>4</v>
      </c>
      <c r="F80" s="27" t="s">
        <v>4</v>
      </c>
      <c r="G80" s="27" t="s">
        <v>4</v>
      </c>
      <c r="H80" s="1">
        <f>SUM(H81:H98)</f>
        <v>0</v>
      </c>
      <c r="I80" s="1">
        <f>SUM(I81:I98)</f>
        <v>0</v>
      </c>
      <c r="J80" s="1">
        <f>SUM(J81:J98)</f>
        <v>0</v>
      </c>
      <c r="K80" s="28" t="s">
        <v>51</v>
      </c>
      <c r="AI80" s="11" t="s">
        <v>55</v>
      </c>
      <c r="AS80" s="1">
        <f>SUM(AJ81:AJ98)</f>
        <v>0</v>
      </c>
      <c r="AT80" s="1">
        <f>SUM(AK81:AK98)</f>
        <v>0</v>
      </c>
      <c r="AU80" s="1">
        <f>SUM(AL81:AL98)</f>
        <v>0</v>
      </c>
    </row>
    <row r="81" spans="1:76" ht="14.4" x14ac:dyDescent="0.3">
      <c r="A81" s="2" t="s">
        <v>181</v>
      </c>
      <c r="B81" s="3" t="s">
        <v>182</v>
      </c>
      <c r="C81" s="87" t="s">
        <v>183</v>
      </c>
      <c r="D81" s="84"/>
      <c r="E81" s="3" t="s">
        <v>59</v>
      </c>
      <c r="F81" s="29">
        <v>279</v>
      </c>
      <c r="G81" s="29">
        <v>0</v>
      </c>
      <c r="H81" s="29">
        <f>F81*AO81</f>
        <v>0</v>
      </c>
      <c r="I81" s="29">
        <f>F81*AP81</f>
        <v>0</v>
      </c>
      <c r="J81" s="29">
        <f>F81*G81</f>
        <v>0</v>
      </c>
      <c r="K81" s="30" t="s">
        <v>60</v>
      </c>
      <c r="Z81" s="29">
        <f>IF(AQ81="5",BJ81,0)</f>
        <v>0</v>
      </c>
      <c r="AB81" s="29">
        <f>IF(AQ81="1",BH81,0)</f>
        <v>0</v>
      </c>
      <c r="AC81" s="29">
        <f>IF(AQ81="1",BI81,0)</f>
        <v>0</v>
      </c>
      <c r="AD81" s="29">
        <f>IF(AQ81="7",BH81,0)</f>
        <v>0</v>
      </c>
      <c r="AE81" s="29">
        <f>IF(AQ81="7",BI81,0)</f>
        <v>0</v>
      </c>
      <c r="AF81" s="29">
        <f>IF(AQ81="2",BH81,0)</f>
        <v>0</v>
      </c>
      <c r="AG81" s="29">
        <f>IF(AQ81="2",BI81,0)</f>
        <v>0</v>
      </c>
      <c r="AH81" s="29">
        <f>IF(AQ81="0",BJ81,0)</f>
        <v>0</v>
      </c>
      <c r="AI81" s="11" t="s">
        <v>55</v>
      </c>
      <c r="AJ81" s="29">
        <f>IF(AN81=0,J81,0)</f>
        <v>0</v>
      </c>
      <c r="AK81" s="29">
        <f>IF(AN81=12,J81,0)</f>
        <v>0</v>
      </c>
      <c r="AL81" s="29">
        <f>IF(AN81=21,J81,0)</f>
        <v>0</v>
      </c>
      <c r="AN81" s="29">
        <v>21</v>
      </c>
      <c r="AO81" s="29">
        <f>G81*0.000431965</f>
        <v>0</v>
      </c>
      <c r="AP81" s="29">
        <f>G81*(1-0.000431965)</f>
        <v>0</v>
      </c>
      <c r="AQ81" s="31" t="s">
        <v>56</v>
      </c>
      <c r="AV81" s="29">
        <f>AW81+AX81</f>
        <v>0</v>
      </c>
      <c r="AW81" s="29">
        <f>F81*AO81</f>
        <v>0</v>
      </c>
      <c r="AX81" s="29">
        <f>F81*AP81</f>
        <v>0</v>
      </c>
      <c r="AY81" s="31" t="s">
        <v>184</v>
      </c>
      <c r="AZ81" s="31" t="s">
        <v>62</v>
      </c>
      <c r="BA81" s="11" t="s">
        <v>63</v>
      </c>
      <c r="BC81" s="29">
        <f>AW81+AX81</f>
        <v>0</v>
      </c>
      <c r="BD81" s="29">
        <f>G81/(100-BE81)*100</f>
        <v>0</v>
      </c>
      <c r="BE81" s="29">
        <v>0</v>
      </c>
      <c r="BF81" s="29">
        <f>81</f>
        <v>81</v>
      </c>
      <c r="BH81" s="29">
        <f>F81*AO81</f>
        <v>0</v>
      </c>
      <c r="BI81" s="29">
        <f>F81*AP81</f>
        <v>0</v>
      </c>
      <c r="BJ81" s="29">
        <f>F81*G81</f>
        <v>0</v>
      </c>
      <c r="BK81" s="29"/>
      <c r="BL81" s="29">
        <v>94</v>
      </c>
      <c r="BW81" s="29">
        <v>21</v>
      </c>
      <c r="BX81" s="5" t="s">
        <v>183</v>
      </c>
    </row>
    <row r="82" spans="1:76" ht="14.4" x14ac:dyDescent="0.3">
      <c r="A82" s="36"/>
      <c r="B82" s="37"/>
      <c r="C82" s="33" t="s">
        <v>185</v>
      </c>
      <c r="D82" s="33" t="s">
        <v>65</v>
      </c>
      <c r="E82" s="37"/>
      <c r="F82" s="34">
        <v>99</v>
      </c>
      <c r="G82" s="37"/>
      <c r="H82" s="37"/>
      <c r="I82" s="37"/>
      <c r="J82" s="37"/>
      <c r="K82" s="38"/>
    </row>
    <row r="83" spans="1:76" ht="14.4" x14ac:dyDescent="0.3">
      <c r="A83" s="36"/>
      <c r="B83" s="37"/>
      <c r="C83" s="33" t="s">
        <v>185</v>
      </c>
      <c r="D83" s="33" t="s">
        <v>186</v>
      </c>
      <c r="E83" s="37"/>
      <c r="F83" s="34">
        <v>99</v>
      </c>
      <c r="G83" s="37"/>
      <c r="H83" s="37"/>
      <c r="I83" s="37"/>
      <c r="J83" s="37"/>
      <c r="K83" s="38"/>
    </row>
    <row r="84" spans="1:76" ht="14.4" x14ac:dyDescent="0.3">
      <c r="A84" s="36"/>
      <c r="B84" s="37"/>
      <c r="C84" s="33" t="s">
        <v>187</v>
      </c>
      <c r="D84" s="33" t="s">
        <v>86</v>
      </c>
      <c r="E84" s="37"/>
      <c r="F84" s="34">
        <v>81</v>
      </c>
      <c r="G84" s="37"/>
      <c r="H84" s="37"/>
      <c r="I84" s="37"/>
      <c r="J84" s="37"/>
      <c r="K84" s="38"/>
    </row>
    <row r="85" spans="1:76" ht="14.4" x14ac:dyDescent="0.3">
      <c r="A85" s="2" t="s">
        <v>188</v>
      </c>
      <c r="B85" s="3" t="s">
        <v>189</v>
      </c>
      <c r="C85" s="87" t="s">
        <v>190</v>
      </c>
      <c r="D85" s="84"/>
      <c r="E85" s="3" t="s">
        <v>59</v>
      </c>
      <c r="F85" s="29">
        <v>279</v>
      </c>
      <c r="G85" s="29">
        <v>0</v>
      </c>
      <c r="H85" s="29">
        <f>F85*AO85</f>
        <v>0</v>
      </c>
      <c r="I85" s="29">
        <f>F85*AP85</f>
        <v>0</v>
      </c>
      <c r="J85" s="29">
        <f>F85*G85</f>
        <v>0</v>
      </c>
      <c r="K85" s="30" t="s">
        <v>60</v>
      </c>
      <c r="Z85" s="29">
        <f>IF(AQ85="5",BJ85,0)</f>
        <v>0</v>
      </c>
      <c r="AB85" s="29">
        <f>IF(AQ85="1",BH85,0)</f>
        <v>0</v>
      </c>
      <c r="AC85" s="29">
        <f>IF(AQ85="1",BI85,0)</f>
        <v>0</v>
      </c>
      <c r="AD85" s="29">
        <f>IF(AQ85="7",BH85,0)</f>
        <v>0</v>
      </c>
      <c r="AE85" s="29">
        <f>IF(AQ85="7",BI85,0)</f>
        <v>0</v>
      </c>
      <c r="AF85" s="29">
        <f>IF(AQ85="2",BH85,0)</f>
        <v>0</v>
      </c>
      <c r="AG85" s="29">
        <f>IF(AQ85="2",BI85,0)</f>
        <v>0</v>
      </c>
      <c r="AH85" s="29">
        <f>IF(AQ85="0",BJ85,0)</f>
        <v>0</v>
      </c>
      <c r="AI85" s="11" t="s">
        <v>55</v>
      </c>
      <c r="AJ85" s="29">
        <f>IF(AN85=0,J85,0)</f>
        <v>0</v>
      </c>
      <c r="AK85" s="29">
        <f>IF(AN85=12,J85,0)</f>
        <v>0</v>
      </c>
      <c r="AL85" s="29">
        <f>IF(AN85=21,J85,0)</f>
        <v>0</v>
      </c>
      <c r="AN85" s="29">
        <v>21</v>
      </c>
      <c r="AO85" s="29">
        <f>G85*0</f>
        <v>0</v>
      </c>
      <c r="AP85" s="29">
        <f>G85*(1-0)</f>
        <v>0</v>
      </c>
      <c r="AQ85" s="31" t="s">
        <v>56</v>
      </c>
      <c r="AV85" s="29">
        <f>AW85+AX85</f>
        <v>0</v>
      </c>
      <c r="AW85" s="29">
        <f>F85*AO85</f>
        <v>0</v>
      </c>
      <c r="AX85" s="29">
        <f>F85*AP85</f>
        <v>0</v>
      </c>
      <c r="AY85" s="31" t="s">
        <v>184</v>
      </c>
      <c r="AZ85" s="31" t="s">
        <v>62</v>
      </c>
      <c r="BA85" s="11" t="s">
        <v>63</v>
      </c>
      <c r="BC85" s="29">
        <f>AW85+AX85</f>
        <v>0</v>
      </c>
      <c r="BD85" s="29">
        <f>G85/(100-BE85)*100</f>
        <v>0</v>
      </c>
      <c r="BE85" s="29">
        <v>0</v>
      </c>
      <c r="BF85" s="29">
        <f>85</f>
        <v>85</v>
      </c>
      <c r="BH85" s="29">
        <f>F85*AO85</f>
        <v>0</v>
      </c>
      <c r="BI85" s="29">
        <f>F85*AP85</f>
        <v>0</v>
      </c>
      <c r="BJ85" s="29">
        <f>F85*G85</f>
        <v>0</v>
      </c>
      <c r="BK85" s="29"/>
      <c r="BL85" s="29">
        <v>94</v>
      </c>
      <c r="BW85" s="29">
        <v>21</v>
      </c>
      <c r="BX85" s="5" t="s">
        <v>190</v>
      </c>
    </row>
    <row r="86" spans="1:76" ht="14.4" x14ac:dyDescent="0.3">
      <c r="A86" s="2" t="s">
        <v>191</v>
      </c>
      <c r="B86" s="3" t="s">
        <v>192</v>
      </c>
      <c r="C86" s="87" t="s">
        <v>193</v>
      </c>
      <c r="D86" s="84"/>
      <c r="E86" s="3" t="s">
        <v>59</v>
      </c>
      <c r="F86" s="29">
        <v>558</v>
      </c>
      <c r="G86" s="29">
        <v>0</v>
      </c>
      <c r="H86" s="29">
        <f>F86*AO86</f>
        <v>0</v>
      </c>
      <c r="I86" s="29">
        <f>F86*AP86</f>
        <v>0</v>
      </c>
      <c r="J86" s="29">
        <f>F86*G86</f>
        <v>0</v>
      </c>
      <c r="K86" s="30" t="s">
        <v>60</v>
      </c>
      <c r="Z86" s="29">
        <f>IF(AQ86="5",BJ86,0)</f>
        <v>0</v>
      </c>
      <c r="AB86" s="29">
        <f>IF(AQ86="1",BH86,0)</f>
        <v>0</v>
      </c>
      <c r="AC86" s="29">
        <f>IF(AQ86="1",BI86,0)</f>
        <v>0</v>
      </c>
      <c r="AD86" s="29">
        <f>IF(AQ86="7",BH86,0)</f>
        <v>0</v>
      </c>
      <c r="AE86" s="29">
        <f>IF(AQ86="7",BI86,0)</f>
        <v>0</v>
      </c>
      <c r="AF86" s="29">
        <f>IF(AQ86="2",BH86,0)</f>
        <v>0</v>
      </c>
      <c r="AG86" s="29">
        <f>IF(AQ86="2",BI86,0)</f>
        <v>0</v>
      </c>
      <c r="AH86" s="29">
        <f>IF(AQ86="0",BJ86,0)</f>
        <v>0</v>
      </c>
      <c r="AI86" s="11" t="s">
        <v>55</v>
      </c>
      <c r="AJ86" s="29">
        <f>IF(AN86=0,J86,0)</f>
        <v>0</v>
      </c>
      <c r="AK86" s="29">
        <f>IF(AN86=12,J86,0)</f>
        <v>0</v>
      </c>
      <c r="AL86" s="29">
        <f>IF(AN86=21,J86,0)</f>
        <v>0</v>
      </c>
      <c r="AN86" s="29">
        <v>21</v>
      </c>
      <c r="AO86" s="29">
        <f>G86*0.932577445</f>
        <v>0</v>
      </c>
      <c r="AP86" s="29">
        <f>G86*(1-0.932577445)</f>
        <v>0</v>
      </c>
      <c r="AQ86" s="31" t="s">
        <v>56</v>
      </c>
      <c r="AV86" s="29">
        <f>AW86+AX86</f>
        <v>0</v>
      </c>
      <c r="AW86" s="29">
        <f>F86*AO86</f>
        <v>0</v>
      </c>
      <c r="AX86" s="29">
        <f>F86*AP86</f>
        <v>0</v>
      </c>
      <c r="AY86" s="31" t="s">
        <v>184</v>
      </c>
      <c r="AZ86" s="31" t="s">
        <v>62</v>
      </c>
      <c r="BA86" s="11" t="s">
        <v>63</v>
      </c>
      <c r="BC86" s="29">
        <f>AW86+AX86</f>
        <v>0</v>
      </c>
      <c r="BD86" s="29">
        <f>G86/(100-BE86)*100</f>
        <v>0</v>
      </c>
      <c r="BE86" s="29">
        <v>0</v>
      </c>
      <c r="BF86" s="29">
        <f>86</f>
        <v>86</v>
      </c>
      <c r="BH86" s="29">
        <f>F86*AO86</f>
        <v>0</v>
      </c>
      <c r="BI86" s="29">
        <f>F86*AP86</f>
        <v>0</v>
      </c>
      <c r="BJ86" s="29">
        <f>F86*G86</f>
        <v>0</v>
      </c>
      <c r="BK86" s="29"/>
      <c r="BL86" s="29">
        <v>94</v>
      </c>
      <c r="BW86" s="29">
        <v>21</v>
      </c>
      <c r="BX86" s="5" t="s">
        <v>193</v>
      </c>
    </row>
    <row r="87" spans="1:76" ht="14.4" x14ac:dyDescent="0.3">
      <c r="A87" s="32"/>
      <c r="C87" s="33" t="s">
        <v>194</v>
      </c>
      <c r="D87" s="33" t="s">
        <v>195</v>
      </c>
      <c r="F87" s="34">
        <v>558</v>
      </c>
      <c r="K87" s="35"/>
    </row>
    <row r="88" spans="1:76" ht="14.4" x14ac:dyDescent="0.3">
      <c r="A88" s="2" t="s">
        <v>196</v>
      </c>
      <c r="B88" s="3" t="s">
        <v>197</v>
      </c>
      <c r="C88" s="87" t="s">
        <v>198</v>
      </c>
      <c r="D88" s="84"/>
      <c r="E88" s="3" t="s">
        <v>59</v>
      </c>
      <c r="F88" s="29">
        <v>968</v>
      </c>
      <c r="G88" s="29">
        <v>0</v>
      </c>
      <c r="H88" s="29">
        <f>F88*AO88</f>
        <v>0</v>
      </c>
      <c r="I88" s="29">
        <f>F88*AP88</f>
        <v>0</v>
      </c>
      <c r="J88" s="29">
        <f>F88*G88</f>
        <v>0</v>
      </c>
      <c r="K88" s="30" t="s">
        <v>60</v>
      </c>
      <c r="Z88" s="29">
        <f>IF(AQ88="5",BJ88,0)</f>
        <v>0</v>
      </c>
      <c r="AB88" s="29">
        <f>IF(AQ88="1",BH88,0)</f>
        <v>0</v>
      </c>
      <c r="AC88" s="29">
        <f>IF(AQ88="1",BI88,0)</f>
        <v>0</v>
      </c>
      <c r="AD88" s="29">
        <f>IF(AQ88="7",BH88,0)</f>
        <v>0</v>
      </c>
      <c r="AE88" s="29">
        <f>IF(AQ88="7",BI88,0)</f>
        <v>0</v>
      </c>
      <c r="AF88" s="29">
        <f>IF(AQ88="2",BH88,0)</f>
        <v>0</v>
      </c>
      <c r="AG88" s="29">
        <f>IF(AQ88="2",BI88,0)</f>
        <v>0</v>
      </c>
      <c r="AH88" s="29">
        <f>IF(AQ88="0",BJ88,0)</f>
        <v>0</v>
      </c>
      <c r="AI88" s="11" t="s">
        <v>55</v>
      </c>
      <c r="AJ88" s="29">
        <f>IF(AN88=0,J88,0)</f>
        <v>0</v>
      </c>
      <c r="AK88" s="29">
        <f>IF(AN88=12,J88,0)</f>
        <v>0</v>
      </c>
      <c r="AL88" s="29">
        <f>IF(AN88=21,J88,0)</f>
        <v>0</v>
      </c>
      <c r="AN88" s="29">
        <v>21</v>
      </c>
      <c r="AO88" s="29">
        <f>G88*1</f>
        <v>0</v>
      </c>
      <c r="AP88" s="29">
        <f>G88*(1-1)</f>
        <v>0</v>
      </c>
      <c r="AQ88" s="31" t="s">
        <v>56</v>
      </c>
      <c r="AV88" s="29">
        <f>AW88+AX88</f>
        <v>0</v>
      </c>
      <c r="AW88" s="29">
        <f>F88*AO88</f>
        <v>0</v>
      </c>
      <c r="AX88" s="29">
        <f>F88*AP88</f>
        <v>0</v>
      </c>
      <c r="AY88" s="31" t="s">
        <v>184</v>
      </c>
      <c r="AZ88" s="31" t="s">
        <v>62</v>
      </c>
      <c r="BA88" s="11" t="s">
        <v>63</v>
      </c>
      <c r="BC88" s="29">
        <f>AW88+AX88</f>
        <v>0</v>
      </c>
      <c r="BD88" s="29">
        <f>G88/(100-BE88)*100</f>
        <v>0</v>
      </c>
      <c r="BE88" s="29">
        <v>0</v>
      </c>
      <c r="BF88" s="29">
        <f>88</f>
        <v>88</v>
      </c>
      <c r="BH88" s="29">
        <f>F88*AO88</f>
        <v>0</v>
      </c>
      <c r="BI88" s="29">
        <f>F88*AP88</f>
        <v>0</v>
      </c>
      <c r="BJ88" s="29">
        <f>F88*G88</f>
        <v>0</v>
      </c>
      <c r="BK88" s="29"/>
      <c r="BL88" s="29">
        <v>94</v>
      </c>
      <c r="BW88" s="29">
        <v>21</v>
      </c>
      <c r="BX88" s="5" t="s">
        <v>198</v>
      </c>
    </row>
    <row r="89" spans="1:76" ht="14.4" x14ac:dyDescent="0.3">
      <c r="A89" s="32"/>
      <c r="C89" s="33" t="s">
        <v>199</v>
      </c>
      <c r="D89" s="33" t="s">
        <v>51</v>
      </c>
      <c r="F89" s="34">
        <v>968</v>
      </c>
      <c r="K89" s="35"/>
    </row>
    <row r="90" spans="1:76" ht="14.4" x14ac:dyDescent="0.3">
      <c r="A90" s="2" t="s">
        <v>200</v>
      </c>
      <c r="B90" s="3" t="s">
        <v>201</v>
      </c>
      <c r="C90" s="87" t="s">
        <v>202</v>
      </c>
      <c r="D90" s="84"/>
      <c r="E90" s="3" t="s">
        <v>59</v>
      </c>
      <c r="F90" s="29">
        <v>279</v>
      </c>
      <c r="G90" s="29">
        <v>0</v>
      </c>
      <c r="H90" s="29">
        <f>F90*AO90</f>
        <v>0</v>
      </c>
      <c r="I90" s="29">
        <f>F90*AP90</f>
        <v>0</v>
      </c>
      <c r="J90" s="29">
        <f>F90*G90</f>
        <v>0</v>
      </c>
      <c r="K90" s="30" t="s">
        <v>60</v>
      </c>
      <c r="Z90" s="29">
        <f>IF(AQ90="5",BJ90,0)</f>
        <v>0</v>
      </c>
      <c r="AB90" s="29">
        <f>IF(AQ90="1",BH90,0)</f>
        <v>0</v>
      </c>
      <c r="AC90" s="29">
        <f>IF(AQ90="1",BI90,0)</f>
        <v>0</v>
      </c>
      <c r="AD90" s="29">
        <f>IF(AQ90="7",BH90,0)</f>
        <v>0</v>
      </c>
      <c r="AE90" s="29">
        <f>IF(AQ90="7",BI90,0)</f>
        <v>0</v>
      </c>
      <c r="AF90" s="29">
        <f>IF(AQ90="2",BH90,0)</f>
        <v>0</v>
      </c>
      <c r="AG90" s="29">
        <f>IF(AQ90="2",BI90,0)</f>
        <v>0</v>
      </c>
      <c r="AH90" s="29">
        <f>IF(AQ90="0",BJ90,0)</f>
        <v>0</v>
      </c>
      <c r="AI90" s="11" t="s">
        <v>55</v>
      </c>
      <c r="AJ90" s="29">
        <f>IF(AN90=0,J90,0)</f>
        <v>0</v>
      </c>
      <c r="AK90" s="29">
        <f>IF(AN90=12,J90,0)</f>
        <v>0</v>
      </c>
      <c r="AL90" s="29">
        <f>IF(AN90=21,J90,0)</f>
        <v>0</v>
      </c>
      <c r="AN90" s="29">
        <v>21</v>
      </c>
      <c r="AO90" s="29">
        <f>G90*0</f>
        <v>0</v>
      </c>
      <c r="AP90" s="29">
        <f>G90*(1-0)</f>
        <v>0</v>
      </c>
      <c r="AQ90" s="31" t="s">
        <v>56</v>
      </c>
      <c r="AV90" s="29">
        <f>AW90+AX90</f>
        <v>0</v>
      </c>
      <c r="AW90" s="29">
        <f>F90*AO90</f>
        <v>0</v>
      </c>
      <c r="AX90" s="29">
        <f>F90*AP90</f>
        <v>0</v>
      </c>
      <c r="AY90" s="31" t="s">
        <v>184</v>
      </c>
      <c r="AZ90" s="31" t="s">
        <v>62</v>
      </c>
      <c r="BA90" s="11" t="s">
        <v>63</v>
      </c>
      <c r="BC90" s="29">
        <f>AW90+AX90</f>
        <v>0</v>
      </c>
      <c r="BD90" s="29">
        <f>G90/(100-BE90)*100</f>
        <v>0</v>
      </c>
      <c r="BE90" s="29">
        <v>0</v>
      </c>
      <c r="BF90" s="29">
        <f>90</f>
        <v>90</v>
      </c>
      <c r="BH90" s="29">
        <f>F90*AO90</f>
        <v>0</v>
      </c>
      <c r="BI90" s="29">
        <f>F90*AP90</f>
        <v>0</v>
      </c>
      <c r="BJ90" s="29">
        <f>F90*G90</f>
        <v>0</v>
      </c>
      <c r="BK90" s="29"/>
      <c r="BL90" s="29">
        <v>94</v>
      </c>
      <c r="BW90" s="29">
        <v>21</v>
      </c>
      <c r="BX90" s="5" t="s">
        <v>202</v>
      </c>
    </row>
    <row r="91" spans="1:76" ht="14.4" x14ac:dyDescent="0.3">
      <c r="A91" s="2" t="s">
        <v>203</v>
      </c>
      <c r="B91" s="3" t="s">
        <v>204</v>
      </c>
      <c r="C91" s="87" t="s">
        <v>205</v>
      </c>
      <c r="D91" s="84"/>
      <c r="E91" s="3" t="s">
        <v>59</v>
      </c>
      <c r="F91" s="29">
        <v>279</v>
      </c>
      <c r="G91" s="29">
        <v>0</v>
      </c>
      <c r="H91" s="29">
        <f>F91*AO91</f>
        <v>0</v>
      </c>
      <c r="I91" s="29">
        <f>F91*AP91</f>
        <v>0</v>
      </c>
      <c r="J91" s="29">
        <f>F91*G91</f>
        <v>0</v>
      </c>
      <c r="K91" s="30" t="s">
        <v>60</v>
      </c>
      <c r="Z91" s="29">
        <f>IF(AQ91="5",BJ91,0)</f>
        <v>0</v>
      </c>
      <c r="AB91" s="29">
        <f>IF(AQ91="1",BH91,0)</f>
        <v>0</v>
      </c>
      <c r="AC91" s="29">
        <f>IF(AQ91="1",BI91,0)</f>
        <v>0</v>
      </c>
      <c r="AD91" s="29">
        <f>IF(AQ91="7",BH91,0)</f>
        <v>0</v>
      </c>
      <c r="AE91" s="29">
        <f>IF(AQ91="7",BI91,0)</f>
        <v>0</v>
      </c>
      <c r="AF91" s="29">
        <f>IF(AQ91="2",BH91,0)</f>
        <v>0</v>
      </c>
      <c r="AG91" s="29">
        <f>IF(AQ91="2",BI91,0)</f>
        <v>0</v>
      </c>
      <c r="AH91" s="29">
        <f>IF(AQ91="0",BJ91,0)</f>
        <v>0</v>
      </c>
      <c r="AI91" s="11" t="s">
        <v>55</v>
      </c>
      <c r="AJ91" s="29">
        <f>IF(AN91=0,J91,0)</f>
        <v>0</v>
      </c>
      <c r="AK91" s="29">
        <f>IF(AN91=12,J91,0)</f>
        <v>0</v>
      </c>
      <c r="AL91" s="29">
        <f>IF(AN91=21,J91,0)</f>
        <v>0</v>
      </c>
      <c r="AN91" s="29">
        <v>21</v>
      </c>
      <c r="AO91" s="29">
        <f>G91*0</f>
        <v>0</v>
      </c>
      <c r="AP91" s="29">
        <f>G91*(1-0)</f>
        <v>0</v>
      </c>
      <c r="AQ91" s="31" t="s">
        <v>56</v>
      </c>
      <c r="AV91" s="29">
        <f>AW91+AX91</f>
        <v>0</v>
      </c>
      <c r="AW91" s="29">
        <f>F91*AO91</f>
        <v>0</v>
      </c>
      <c r="AX91" s="29">
        <f>F91*AP91</f>
        <v>0</v>
      </c>
      <c r="AY91" s="31" t="s">
        <v>184</v>
      </c>
      <c r="AZ91" s="31" t="s">
        <v>62</v>
      </c>
      <c r="BA91" s="11" t="s">
        <v>63</v>
      </c>
      <c r="BC91" s="29">
        <f>AW91+AX91</f>
        <v>0</v>
      </c>
      <c r="BD91" s="29">
        <f>G91/(100-BE91)*100</f>
        <v>0</v>
      </c>
      <c r="BE91" s="29">
        <v>0</v>
      </c>
      <c r="BF91" s="29">
        <f>91</f>
        <v>91</v>
      </c>
      <c r="BH91" s="29">
        <f>F91*AO91</f>
        <v>0</v>
      </c>
      <c r="BI91" s="29">
        <f>F91*AP91</f>
        <v>0</v>
      </c>
      <c r="BJ91" s="29">
        <f>F91*G91</f>
        <v>0</v>
      </c>
      <c r="BK91" s="29"/>
      <c r="BL91" s="29">
        <v>94</v>
      </c>
      <c r="BW91" s="29">
        <v>21</v>
      </c>
      <c r="BX91" s="5" t="s">
        <v>205</v>
      </c>
    </row>
    <row r="92" spans="1:76" ht="14.4" x14ac:dyDescent="0.3">
      <c r="A92" s="2" t="s">
        <v>206</v>
      </c>
      <c r="B92" s="3" t="s">
        <v>207</v>
      </c>
      <c r="C92" s="87" t="s">
        <v>208</v>
      </c>
      <c r="D92" s="84"/>
      <c r="E92" s="3" t="s">
        <v>59</v>
      </c>
      <c r="F92" s="29">
        <v>557.65</v>
      </c>
      <c r="G92" s="29">
        <v>0</v>
      </c>
      <c r="H92" s="29">
        <f>F92*AO92</f>
        <v>0</v>
      </c>
      <c r="I92" s="29">
        <f>F92*AP92</f>
        <v>0</v>
      </c>
      <c r="J92" s="29">
        <f>F92*G92</f>
        <v>0</v>
      </c>
      <c r="K92" s="30" t="s">
        <v>60</v>
      </c>
      <c r="Z92" s="29">
        <f>IF(AQ92="5",BJ92,0)</f>
        <v>0</v>
      </c>
      <c r="AB92" s="29">
        <f>IF(AQ92="1",BH92,0)</f>
        <v>0</v>
      </c>
      <c r="AC92" s="29">
        <f>IF(AQ92="1",BI92,0)</f>
        <v>0</v>
      </c>
      <c r="AD92" s="29">
        <f>IF(AQ92="7",BH92,0)</f>
        <v>0</v>
      </c>
      <c r="AE92" s="29">
        <f>IF(AQ92="7",BI92,0)</f>
        <v>0</v>
      </c>
      <c r="AF92" s="29">
        <f>IF(AQ92="2",BH92,0)</f>
        <v>0</v>
      </c>
      <c r="AG92" s="29">
        <f>IF(AQ92="2",BI92,0)</f>
        <v>0</v>
      </c>
      <c r="AH92" s="29">
        <f>IF(AQ92="0",BJ92,0)</f>
        <v>0</v>
      </c>
      <c r="AI92" s="11" t="s">
        <v>55</v>
      </c>
      <c r="AJ92" s="29">
        <f>IF(AN92=0,J92,0)</f>
        <v>0</v>
      </c>
      <c r="AK92" s="29">
        <f>IF(AN92=12,J92,0)</f>
        <v>0</v>
      </c>
      <c r="AL92" s="29">
        <f>IF(AN92=21,J92,0)</f>
        <v>0</v>
      </c>
      <c r="AN92" s="29">
        <v>21</v>
      </c>
      <c r="AO92" s="29">
        <f>G92*0.357031489</f>
        <v>0</v>
      </c>
      <c r="AP92" s="29">
        <f>G92*(1-0.357031489)</f>
        <v>0</v>
      </c>
      <c r="AQ92" s="31" t="s">
        <v>56</v>
      </c>
      <c r="AV92" s="29">
        <f>AW92+AX92</f>
        <v>0</v>
      </c>
      <c r="AW92" s="29">
        <f>F92*AO92</f>
        <v>0</v>
      </c>
      <c r="AX92" s="29">
        <f>F92*AP92</f>
        <v>0</v>
      </c>
      <c r="AY92" s="31" t="s">
        <v>184</v>
      </c>
      <c r="AZ92" s="31" t="s">
        <v>62</v>
      </c>
      <c r="BA92" s="11" t="s">
        <v>63</v>
      </c>
      <c r="BC92" s="29">
        <f>AW92+AX92</f>
        <v>0</v>
      </c>
      <c r="BD92" s="29">
        <f>G92/(100-BE92)*100</f>
        <v>0</v>
      </c>
      <c r="BE92" s="29">
        <v>0</v>
      </c>
      <c r="BF92" s="29">
        <f>92</f>
        <v>92</v>
      </c>
      <c r="BH92" s="29">
        <f>F92*AO92</f>
        <v>0</v>
      </c>
      <c r="BI92" s="29">
        <f>F92*AP92</f>
        <v>0</v>
      </c>
      <c r="BJ92" s="29">
        <f>F92*G92</f>
        <v>0</v>
      </c>
      <c r="BK92" s="29"/>
      <c r="BL92" s="29">
        <v>94</v>
      </c>
      <c r="BW92" s="29">
        <v>21</v>
      </c>
      <c r="BX92" s="5" t="s">
        <v>208</v>
      </c>
    </row>
    <row r="93" spans="1:76" ht="14.4" x14ac:dyDescent="0.3">
      <c r="A93" s="32"/>
      <c r="C93" s="33" t="s">
        <v>209</v>
      </c>
      <c r="D93" s="33" t="s">
        <v>210</v>
      </c>
      <c r="F93" s="34">
        <v>182.68</v>
      </c>
      <c r="K93" s="35"/>
    </row>
    <row r="94" spans="1:76" ht="14.4" x14ac:dyDescent="0.3">
      <c r="A94" s="32"/>
      <c r="C94" s="33" t="s">
        <v>124</v>
      </c>
      <c r="D94" s="33" t="s">
        <v>211</v>
      </c>
      <c r="F94" s="34">
        <v>185.18</v>
      </c>
      <c r="K94" s="35"/>
    </row>
    <row r="95" spans="1:76" ht="14.4" x14ac:dyDescent="0.3">
      <c r="A95" s="32"/>
      <c r="C95" s="33" t="s">
        <v>212</v>
      </c>
      <c r="D95" s="33" t="s">
        <v>213</v>
      </c>
      <c r="F95" s="34">
        <v>189.79</v>
      </c>
      <c r="K95" s="35"/>
    </row>
    <row r="96" spans="1:76" ht="14.4" x14ac:dyDescent="0.3">
      <c r="A96" s="2" t="s">
        <v>214</v>
      </c>
      <c r="B96" s="3" t="s">
        <v>215</v>
      </c>
      <c r="C96" s="87" t="s">
        <v>216</v>
      </c>
      <c r="D96" s="84"/>
      <c r="E96" s="3" t="s">
        <v>217</v>
      </c>
      <c r="F96" s="29">
        <v>2</v>
      </c>
      <c r="G96" s="29">
        <v>0</v>
      </c>
      <c r="H96" s="29">
        <f>F96*AO96</f>
        <v>0</v>
      </c>
      <c r="I96" s="29">
        <f>F96*AP96</f>
        <v>0</v>
      </c>
      <c r="J96" s="29">
        <f>F96*G96</f>
        <v>0</v>
      </c>
      <c r="K96" s="30" t="s">
        <v>60</v>
      </c>
      <c r="Z96" s="29">
        <f>IF(AQ96="5",BJ96,0)</f>
        <v>0</v>
      </c>
      <c r="AB96" s="29">
        <f>IF(AQ96="1",BH96,0)</f>
        <v>0</v>
      </c>
      <c r="AC96" s="29">
        <f>IF(AQ96="1",BI96,0)</f>
        <v>0</v>
      </c>
      <c r="AD96" s="29">
        <f>IF(AQ96="7",BH96,0)</f>
        <v>0</v>
      </c>
      <c r="AE96" s="29">
        <f>IF(AQ96="7",BI96,0)</f>
        <v>0</v>
      </c>
      <c r="AF96" s="29">
        <f>IF(AQ96="2",BH96,0)</f>
        <v>0</v>
      </c>
      <c r="AG96" s="29">
        <f>IF(AQ96="2",BI96,0)</f>
        <v>0</v>
      </c>
      <c r="AH96" s="29">
        <f>IF(AQ96="0",BJ96,0)</f>
        <v>0</v>
      </c>
      <c r="AI96" s="11" t="s">
        <v>55</v>
      </c>
      <c r="AJ96" s="29">
        <f>IF(AN96=0,J96,0)</f>
        <v>0</v>
      </c>
      <c r="AK96" s="29">
        <f>IF(AN96=12,J96,0)</f>
        <v>0</v>
      </c>
      <c r="AL96" s="29">
        <f>IF(AN96=21,J96,0)</f>
        <v>0</v>
      </c>
      <c r="AN96" s="29">
        <v>21</v>
      </c>
      <c r="AO96" s="29">
        <f>G96*0</f>
        <v>0</v>
      </c>
      <c r="AP96" s="29">
        <f>G96*(1-0)</f>
        <v>0</v>
      </c>
      <c r="AQ96" s="31" t="s">
        <v>56</v>
      </c>
      <c r="AV96" s="29">
        <f>AW96+AX96</f>
        <v>0</v>
      </c>
      <c r="AW96" s="29">
        <f>F96*AO96</f>
        <v>0</v>
      </c>
      <c r="AX96" s="29">
        <f>F96*AP96</f>
        <v>0</v>
      </c>
      <c r="AY96" s="31" t="s">
        <v>184</v>
      </c>
      <c r="AZ96" s="31" t="s">
        <v>62</v>
      </c>
      <c r="BA96" s="11" t="s">
        <v>63</v>
      </c>
      <c r="BC96" s="29">
        <f>AW96+AX96</f>
        <v>0</v>
      </c>
      <c r="BD96" s="29">
        <f>G96/(100-BE96)*100</f>
        <v>0</v>
      </c>
      <c r="BE96" s="29">
        <v>0</v>
      </c>
      <c r="BF96" s="29">
        <f>96</f>
        <v>96</v>
      </c>
      <c r="BH96" s="29">
        <f>F96*AO96</f>
        <v>0</v>
      </c>
      <c r="BI96" s="29">
        <f>F96*AP96</f>
        <v>0</v>
      </c>
      <c r="BJ96" s="29">
        <f>F96*G96</f>
        <v>0</v>
      </c>
      <c r="BK96" s="29"/>
      <c r="BL96" s="29">
        <v>94</v>
      </c>
      <c r="BW96" s="29">
        <v>21</v>
      </c>
      <c r="BX96" s="5" t="s">
        <v>216</v>
      </c>
    </row>
    <row r="97" spans="1:76" ht="14.4" x14ac:dyDescent="0.3">
      <c r="A97" s="2" t="s">
        <v>218</v>
      </c>
      <c r="B97" s="3" t="s">
        <v>219</v>
      </c>
      <c r="C97" s="87" t="s">
        <v>220</v>
      </c>
      <c r="D97" s="84"/>
      <c r="E97" s="3" t="s">
        <v>221</v>
      </c>
      <c r="F97" s="29">
        <v>10</v>
      </c>
      <c r="G97" s="29">
        <v>0</v>
      </c>
      <c r="H97" s="29">
        <f>F97*AO97</f>
        <v>0</v>
      </c>
      <c r="I97" s="29">
        <f>F97*AP97</f>
        <v>0</v>
      </c>
      <c r="J97" s="29">
        <f>F97*G97</f>
        <v>0</v>
      </c>
      <c r="K97" s="30" t="s">
        <v>60</v>
      </c>
      <c r="Z97" s="29">
        <f>IF(AQ97="5",BJ97,0)</f>
        <v>0</v>
      </c>
      <c r="AB97" s="29">
        <f>IF(AQ97="1",BH97,0)</f>
        <v>0</v>
      </c>
      <c r="AC97" s="29">
        <f>IF(AQ97="1",BI97,0)</f>
        <v>0</v>
      </c>
      <c r="AD97" s="29">
        <f>IF(AQ97="7",BH97,0)</f>
        <v>0</v>
      </c>
      <c r="AE97" s="29">
        <f>IF(AQ97="7",BI97,0)</f>
        <v>0</v>
      </c>
      <c r="AF97" s="29">
        <f>IF(AQ97="2",BH97,0)</f>
        <v>0</v>
      </c>
      <c r="AG97" s="29">
        <f>IF(AQ97="2",BI97,0)</f>
        <v>0</v>
      </c>
      <c r="AH97" s="29">
        <f>IF(AQ97="0",BJ97,0)</f>
        <v>0</v>
      </c>
      <c r="AI97" s="11" t="s">
        <v>55</v>
      </c>
      <c r="AJ97" s="29">
        <f>IF(AN97=0,J97,0)</f>
        <v>0</v>
      </c>
      <c r="AK97" s="29">
        <f>IF(AN97=12,J97,0)</f>
        <v>0</v>
      </c>
      <c r="AL97" s="29">
        <f>IF(AN97=21,J97,0)</f>
        <v>0</v>
      </c>
      <c r="AN97" s="29">
        <v>21</v>
      </c>
      <c r="AO97" s="29">
        <f>G97*0</f>
        <v>0</v>
      </c>
      <c r="AP97" s="29">
        <f>G97*(1-0)</f>
        <v>0</v>
      </c>
      <c r="AQ97" s="31" t="s">
        <v>56</v>
      </c>
      <c r="AV97" s="29">
        <f>AW97+AX97</f>
        <v>0</v>
      </c>
      <c r="AW97" s="29">
        <f>F97*AO97</f>
        <v>0</v>
      </c>
      <c r="AX97" s="29">
        <f>F97*AP97</f>
        <v>0</v>
      </c>
      <c r="AY97" s="31" t="s">
        <v>184</v>
      </c>
      <c r="AZ97" s="31" t="s">
        <v>62</v>
      </c>
      <c r="BA97" s="11" t="s">
        <v>63</v>
      </c>
      <c r="BC97" s="29">
        <f>AW97+AX97</f>
        <v>0</v>
      </c>
      <c r="BD97" s="29">
        <f>G97/(100-BE97)*100</f>
        <v>0</v>
      </c>
      <c r="BE97" s="29">
        <v>0</v>
      </c>
      <c r="BF97" s="29">
        <f>97</f>
        <v>97</v>
      </c>
      <c r="BH97" s="29">
        <f>F97*AO97</f>
        <v>0</v>
      </c>
      <c r="BI97" s="29">
        <f>F97*AP97</f>
        <v>0</v>
      </c>
      <c r="BJ97" s="29">
        <f>F97*G97</f>
        <v>0</v>
      </c>
      <c r="BK97" s="29"/>
      <c r="BL97" s="29">
        <v>94</v>
      </c>
      <c r="BW97" s="29">
        <v>21</v>
      </c>
      <c r="BX97" s="5" t="s">
        <v>220</v>
      </c>
    </row>
    <row r="98" spans="1:76" ht="14.4" x14ac:dyDescent="0.3">
      <c r="A98" s="2" t="s">
        <v>222</v>
      </c>
      <c r="B98" s="3" t="s">
        <v>223</v>
      </c>
      <c r="C98" s="87" t="s">
        <v>224</v>
      </c>
      <c r="D98" s="84"/>
      <c r="E98" s="3" t="s">
        <v>217</v>
      </c>
      <c r="F98" s="29">
        <v>2</v>
      </c>
      <c r="G98" s="29">
        <v>0</v>
      </c>
      <c r="H98" s="29">
        <f>F98*AO98</f>
        <v>0</v>
      </c>
      <c r="I98" s="29">
        <f>F98*AP98</f>
        <v>0</v>
      </c>
      <c r="J98" s="29">
        <f>F98*G98</f>
        <v>0</v>
      </c>
      <c r="K98" s="30" t="s">
        <v>60</v>
      </c>
      <c r="Z98" s="29">
        <f>IF(AQ98="5",BJ98,0)</f>
        <v>0</v>
      </c>
      <c r="AB98" s="29">
        <f>IF(AQ98="1",BH98,0)</f>
        <v>0</v>
      </c>
      <c r="AC98" s="29">
        <f>IF(AQ98="1",BI98,0)</f>
        <v>0</v>
      </c>
      <c r="AD98" s="29">
        <f>IF(AQ98="7",BH98,0)</f>
        <v>0</v>
      </c>
      <c r="AE98" s="29">
        <f>IF(AQ98="7",BI98,0)</f>
        <v>0</v>
      </c>
      <c r="AF98" s="29">
        <f>IF(AQ98="2",BH98,0)</f>
        <v>0</v>
      </c>
      <c r="AG98" s="29">
        <f>IF(AQ98="2",BI98,0)</f>
        <v>0</v>
      </c>
      <c r="AH98" s="29">
        <f>IF(AQ98="0",BJ98,0)</f>
        <v>0</v>
      </c>
      <c r="AI98" s="11" t="s">
        <v>55</v>
      </c>
      <c r="AJ98" s="29">
        <f>IF(AN98=0,J98,0)</f>
        <v>0</v>
      </c>
      <c r="AK98" s="29">
        <f>IF(AN98=12,J98,0)</f>
        <v>0</v>
      </c>
      <c r="AL98" s="29">
        <f>IF(AN98=21,J98,0)</f>
        <v>0</v>
      </c>
      <c r="AN98" s="29">
        <v>21</v>
      </c>
      <c r="AO98" s="29">
        <f>G98*0</f>
        <v>0</v>
      </c>
      <c r="AP98" s="29">
        <f>G98*(1-0)</f>
        <v>0</v>
      </c>
      <c r="AQ98" s="31" t="s">
        <v>56</v>
      </c>
      <c r="AV98" s="29">
        <f>AW98+AX98</f>
        <v>0</v>
      </c>
      <c r="AW98" s="29">
        <f>F98*AO98</f>
        <v>0</v>
      </c>
      <c r="AX98" s="29">
        <f>F98*AP98</f>
        <v>0</v>
      </c>
      <c r="AY98" s="31" t="s">
        <v>184</v>
      </c>
      <c r="AZ98" s="31" t="s">
        <v>62</v>
      </c>
      <c r="BA98" s="11" t="s">
        <v>63</v>
      </c>
      <c r="BC98" s="29">
        <f>AW98+AX98</f>
        <v>0</v>
      </c>
      <c r="BD98" s="29">
        <f>G98/(100-BE98)*100</f>
        <v>0</v>
      </c>
      <c r="BE98" s="29">
        <v>0</v>
      </c>
      <c r="BF98" s="29">
        <f>98</f>
        <v>98</v>
      </c>
      <c r="BH98" s="29">
        <f>F98*AO98</f>
        <v>0</v>
      </c>
      <c r="BI98" s="29">
        <f>F98*AP98</f>
        <v>0</v>
      </c>
      <c r="BJ98" s="29">
        <f>F98*G98</f>
        <v>0</v>
      </c>
      <c r="BK98" s="29"/>
      <c r="BL98" s="29">
        <v>94</v>
      </c>
      <c r="BW98" s="29">
        <v>21</v>
      </c>
      <c r="BX98" s="5" t="s">
        <v>224</v>
      </c>
    </row>
    <row r="99" spans="1:76" ht="14.4" x14ac:dyDescent="0.3">
      <c r="A99" s="25" t="s">
        <v>51</v>
      </c>
      <c r="B99" s="26" t="s">
        <v>225</v>
      </c>
      <c r="C99" s="143" t="s">
        <v>226</v>
      </c>
      <c r="D99" s="144"/>
      <c r="E99" s="27" t="s">
        <v>4</v>
      </c>
      <c r="F99" s="27" t="s">
        <v>4</v>
      </c>
      <c r="G99" s="27" t="s">
        <v>4</v>
      </c>
      <c r="H99" s="1">
        <f>SUM(H100:H115)</f>
        <v>0</v>
      </c>
      <c r="I99" s="1">
        <f>SUM(I100:I115)</f>
        <v>0</v>
      </c>
      <c r="J99" s="1">
        <f>SUM(J100:J115)</f>
        <v>0</v>
      </c>
      <c r="K99" s="28" t="s">
        <v>51</v>
      </c>
      <c r="AI99" s="11" t="s">
        <v>55</v>
      </c>
      <c r="AS99" s="1">
        <f>SUM(AJ100:AJ115)</f>
        <v>0</v>
      </c>
      <c r="AT99" s="1">
        <f>SUM(AK100:AK115)</f>
        <v>0</v>
      </c>
      <c r="AU99" s="1">
        <f>SUM(AL100:AL115)</f>
        <v>0</v>
      </c>
    </row>
    <row r="100" spans="1:76" ht="14.4" x14ac:dyDescent="0.3">
      <c r="A100" s="2" t="s">
        <v>227</v>
      </c>
      <c r="B100" s="3" t="s">
        <v>228</v>
      </c>
      <c r="C100" s="87" t="s">
        <v>229</v>
      </c>
      <c r="D100" s="84"/>
      <c r="E100" s="3" t="s">
        <v>59</v>
      </c>
      <c r="F100" s="29">
        <v>10.08</v>
      </c>
      <c r="G100" s="29">
        <v>0</v>
      </c>
      <c r="H100" s="29">
        <f>F100*AO100</f>
        <v>0</v>
      </c>
      <c r="I100" s="29">
        <f>F100*AP100</f>
        <v>0</v>
      </c>
      <c r="J100" s="29">
        <f>F100*G100</f>
        <v>0</v>
      </c>
      <c r="K100" s="30" t="s">
        <v>60</v>
      </c>
      <c r="Z100" s="29">
        <f>IF(AQ100="5",BJ100,0)</f>
        <v>0</v>
      </c>
      <c r="AB100" s="29">
        <f>IF(AQ100="1",BH100,0)</f>
        <v>0</v>
      </c>
      <c r="AC100" s="29">
        <f>IF(AQ100="1",BI100,0)</f>
        <v>0</v>
      </c>
      <c r="AD100" s="29">
        <f>IF(AQ100="7",BH100,0)</f>
        <v>0</v>
      </c>
      <c r="AE100" s="29">
        <f>IF(AQ100="7",BI100,0)</f>
        <v>0</v>
      </c>
      <c r="AF100" s="29">
        <f>IF(AQ100="2",BH100,0)</f>
        <v>0</v>
      </c>
      <c r="AG100" s="29">
        <f>IF(AQ100="2",BI100,0)</f>
        <v>0</v>
      </c>
      <c r="AH100" s="29">
        <f>IF(AQ100="0",BJ100,0)</f>
        <v>0</v>
      </c>
      <c r="AI100" s="11" t="s">
        <v>55</v>
      </c>
      <c r="AJ100" s="29">
        <f>IF(AN100=0,J100,0)</f>
        <v>0</v>
      </c>
      <c r="AK100" s="29">
        <f>IF(AN100=12,J100,0)</f>
        <v>0</v>
      </c>
      <c r="AL100" s="29">
        <f>IF(AN100=21,J100,0)</f>
        <v>0</v>
      </c>
      <c r="AN100" s="29">
        <v>21</v>
      </c>
      <c r="AO100" s="29">
        <f>G100*0.090790184</f>
        <v>0</v>
      </c>
      <c r="AP100" s="29">
        <f>G100*(1-0.090790184)</f>
        <v>0</v>
      </c>
      <c r="AQ100" s="31" t="s">
        <v>56</v>
      </c>
      <c r="AV100" s="29">
        <f>AW100+AX100</f>
        <v>0</v>
      </c>
      <c r="AW100" s="29">
        <f>F100*AO100</f>
        <v>0</v>
      </c>
      <c r="AX100" s="29">
        <f>F100*AP100</f>
        <v>0</v>
      </c>
      <c r="AY100" s="31" t="s">
        <v>230</v>
      </c>
      <c r="AZ100" s="31" t="s">
        <v>62</v>
      </c>
      <c r="BA100" s="11" t="s">
        <v>63</v>
      </c>
      <c r="BC100" s="29">
        <f>AW100+AX100</f>
        <v>0</v>
      </c>
      <c r="BD100" s="29">
        <f>G100/(100-BE100)*100</f>
        <v>0</v>
      </c>
      <c r="BE100" s="29">
        <v>0</v>
      </c>
      <c r="BF100" s="29">
        <f>100</f>
        <v>100</v>
      </c>
      <c r="BH100" s="29">
        <f>F100*AO100</f>
        <v>0</v>
      </c>
      <c r="BI100" s="29">
        <f>F100*AP100</f>
        <v>0</v>
      </c>
      <c r="BJ100" s="29">
        <f>F100*G100</f>
        <v>0</v>
      </c>
      <c r="BK100" s="29"/>
      <c r="BL100" s="29">
        <v>96</v>
      </c>
      <c r="BW100" s="29">
        <v>21</v>
      </c>
      <c r="BX100" s="5" t="s">
        <v>229</v>
      </c>
    </row>
    <row r="101" spans="1:76" ht="14.4" x14ac:dyDescent="0.3">
      <c r="A101" s="32"/>
      <c r="C101" s="33" t="s">
        <v>231</v>
      </c>
      <c r="D101" s="33" t="s">
        <v>232</v>
      </c>
      <c r="F101" s="34">
        <v>10.08</v>
      </c>
      <c r="K101" s="35"/>
    </row>
    <row r="102" spans="1:76" ht="14.4" x14ac:dyDescent="0.3">
      <c r="A102" s="2" t="s">
        <v>233</v>
      </c>
      <c r="B102" s="3" t="s">
        <v>234</v>
      </c>
      <c r="C102" s="87" t="s">
        <v>235</v>
      </c>
      <c r="D102" s="84"/>
      <c r="E102" s="3" t="s">
        <v>59</v>
      </c>
      <c r="F102" s="29">
        <v>157.4838</v>
      </c>
      <c r="G102" s="29">
        <v>0</v>
      </c>
      <c r="H102" s="29">
        <f>F102*AO102</f>
        <v>0</v>
      </c>
      <c r="I102" s="29">
        <f>F102*AP102</f>
        <v>0</v>
      </c>
      <c r="J102" s="29">
        <f>F102*G102</f>
        <v>0</v>
      </c>
      <c r="K102" s="30" t="s">
        <v>60</v>
      </c>
      <c r="Z102" s="29">
        <f>IF(AQ102="5",BJ102,0)</f>
        <v>0</v>
      </c>
      <c r="AB102" s="29">
        <f>IF(AQ102="1",BH102,0)</f>
        <v>0</v>
      </c>
      <c r="AC102" s="29">
        <f>IF(AQ102="1",BI102,0)</f>
        <v>0</v>
      </c>
      <c r="AD102" s="29">
        <f>IF(AQ102="7",BH102,0)</f>
        <v>0</v>
      </c>
      <c r="AE102" s="29">
        <f>IF(AQ102="7",BI102,0)</f>
        <v>0</v>
      </c>
      <c r="AF102" s="29">
        <f>IF(AQ102="2",BH102,0)</f>
        <v>0</v>
      </c>
      <c r="AG102" s="29">
        <f>IF(AQ102="2",BI102,0)</f>
        <v>0</v>
      </c>
      <c r="AH102" s="29">
        <f>IF(AQ102="0",BJ102,0)</f>
        <v>0</v>
      </c>
      <c r="AI102" s="11" t="s">
        <v>55</v>
      </c>
      <c r="AJ102" s="29">
        <f>IF(AN102=0,J102,0)</f>
        <v>0</v>
      </c>
      <c r="AK102" s="29">
        <f>IF(AN102=12,J102,0)</f>
        <v>0</v>
      </c>
      <c r="AL102" s="29">
        <f>IF(AN102=21,J102,0)</f>
        <v>0</v>
      </c>
      <c r="AN102" s="29">
        <v>21</v>
      </c>
      <c r="AO102" s="29">
        <f>G102*0.084233373</f>
        <v>0</v>
      </c>
      <c r="AP102" s="29">
        <f>G102*(1-0.084233373)</f>
        <v>0</v>
      </c>
      <c r="AQ102" s="31" t="s">
        <v>56</v>
      </c>
      <c r="AV102" s="29">
        <f>AW102+AX102</f>
        <v>0</v>
      </c>
      <c r="AW102" s="29">
        <f>F102*AO102</f>
        <v>0</v>
      </c>
      <c r="AX102" s="29">
        <f>F102*AP102</f>
        <v>0</v>
      </c>
      <c r="AY102" s="31" t="s">
        <v>230</v>
      </c>
      <c r="AZ102" s="31" t="s">
        <v>62</v>
      </c>
      <c r="BA102" s="11" t="s">
        <v>63</v>
      </c>
      <c r="BC102" s="29">
        <f>AW102+AX102</f>
        <v>0</v>
      </c>
      <c r="BD102" s="29">
        <f>G102/(100-BE102)*100</f>
        <v>0</v>
      </c>
      <c r="BE102" s="29">
        <v>0</v>
      </c>
      <c r="BF102" s="29">
        <f>102</f>
        <v>102</v>
      </c>
      <c r="BH102" s="29">
        <f>F102*AO102</f>
        <v>0</v>
      </c>
      <c r="BI102" s="29">
        <f>F102*AP102</f>
        <v>0</v>
      </c>
      <c r="BJ102" s="29">
        <f>F102*G102</f>
        <v>0</v>
      </c>
      <c r="BK102" s="29"/>
      <c r="BL102" s="29">
        <v>96</v>
      </c>
      <c r="BW102" s="29">
        <v>21</v>
      </c>
      <c r="BX102" s="5" t="s">
        <v>235</v>
      </c>
    </row>
    <row r="103" spans="1:76" ht="14.4" x14ac:dyDescent="0.3">
      <c r="A103" s="32"/>
      <c r="C103" s="33" t="s">
        <v>236</v>
      </c>
      <c r="D103" s="33" t="s">
        <v>237</v>
      </c>
      <c r="F103" s="34">
        <v>12.2112</v>
      </c>
      <c r="K103" s="35"/>
    </row>
    <row r="104" spans="1:76" ht="14.4" x14ac:dyDescent="0.3">
      <c r="A104" s="32"/>
      <c r="C104" s="33" t="s">
        <v>238</v>
      </c>
      <c r="D104" s="33" t="s">
        <v>51</v>
      </c>
      <c r="F104" s="34">
        <v>88.022400000000005</v>
      </c>
      <c r="K104" s="35"/>
    </row>
    <row r="105" spans="1:76" ht="14.4" x14ac:dyDescent="0.3">
      <c r="A105" s="32"/>
      <c r="C105" s="33" t="s">
        <v>239</v>
      </c>
      <c r="D105" s="33" t="s">
        <v>240</v>
      </c>
      <c r="F105" s="34">
        <v>32.904600000000002</v>
      </c>
      <c r="K105" s="35"/>
    </row>
    <row r="106" spans="1:76" ht="14.4" x14ac:dyDescent="0.3">
      <c r="A106" s="32"/>
      <c r="C106" s="33" t="s">
        <v>241</v>
      </c>
      <c r="D106" s="33" t="s">
        <v>51</v>
      </c>
      <c r="F106" s="34">
        <v>24.345600000000001</v>
      </c>
      <c r="K106" s="35"/>
    </row>
    <row r="107" spans="1:76" ht="14.4" x14ac:dyDescent="0.3">
      <c r="A107" s="2" t="s">
        <v>242</v>
      </c>
      <c r="B107" s="3" t="s">
        <v>243</v>
      </c>
      <c r="C107" s="87" t="s">
        <v>244</v>
      </c>
      <c r="D107" s="84"/>
      <c r="E107" s="3" t="s">
        <v>129</v>
      </c>
      <c r="F107" s="29">
        <v>26.891999999999999</v>
      </c>
      <c r="G107" s="29">
        <v>0</v>
      </c>
      <c r="H107" s="29">
        <f>F107*AO107</f>
        <v>0</v>
      </c>
      <c r="I107" s="29">
        <f>F107*AP107</f>
        <v>0</v>
      </c>
      <c r="J107" s="29">
        <f>F107*G107</f>
        <v>0</v>
      </c>
      <c r="K107" s="30" t="s">
        <v>60</v>
      </c>
      <c r="Z107" s="29">
        <f>IF(AQ107="5",BJ107,0)</f>
        <v>0</v>
      </c>
      <c r="AB107" s="29">
        <f>IF(AQ107="1",BH107,0)</f>
        <v>0</v>
      </c>
      <c r="AC107" s="29">
        <f>IF(AQ107="1",BI107,0)</f>
        <v>0</v>
      </c>
      <c r="AD107" s="29">
        <f>IF(AQ107="7",BH107,0)</f>
        <v>0</v>
      </c>
      <c r="AE107" s="29">
        <f>IF(AQ107="7",BI107,0)</f>
        <v>0</v>
      </c>
      <c r="AF107" s="29">
        <f>IF(AQ107="2",BH107,0)</f>
        <v>0</v>
      </c>
      <c r="AG107" s="29">
        <f>IF(AQ107="2",BI107,0)</f>
        <v>0</v>
      </c>
      <c r="AH107" s="29">
        <f>IF(AQ107="0",BJ107,0)</f>
        <v>0</v>
      </c>
      <c r="AI107" s="11" t="s">
        <v>55</v>
      </c>
      <c r="AJ107" s="29">
        <f>IF(AN107=0,J107,0)</f>
        <v>0</v>
      </c>
      <c r="AK107" s="29">
        <f>IF(AN107=12,J107,0)</f>
        <v>0</v>
      </c>
      <c r="AL107" s="29">
        <f>IF(AN107=21,J107,0)</f>
        <v>0</v>
      </c>
      <c r="AN107" s="29">
        <v>21</v>
      </c>
      <c r="AO107" s="29">
        <f>G107*0</f>
        <v>0</v>
      </c>
      <c r="AP107" s="29">
        <f>G107*(1-0)</f>
        <v>0</v>
      </c>
      <c r="AQ107" s="31" t="s">
        <v>56</v>
      </c>
      <c r="AV107" s="29">
        <f>AW107+AX107</f>
        <v>0</v>
      </c>
      <c r="AW107" s="29">
        <f>F107*AO107</f>
        <v>0</v>
      </c>
      <c r="AX107" s="29">
        <f>F107*AP107</f>
        <v>0</v>
      </c>
      <c r="AY107" s="31" t="s">
        <v>230</v>
      </c>
      <c r="AZ107" s="31" t="s">
        <v>62</v>
      </c>
      <c r="BA107" s="11" t="s">
        <v>63</v>
      </c>
      <c r="BC107" s="29">
        <f>AW107+AX107</f>
        <v>0</v>
      </c>
      <c r="BD107" s="29">
        <f>G107/(100-BE107)*100</f>
        <v>0</v>
      </c>
      <c r="BE107" s="29">
        <v>0</v>
      </c>
      <c r="BF107" s="29">
        <f>107</f>
        <v>107</v>
      </c>
      <c r="BH107" s="29">
        <f>F107*AO107</f>
        <v>0</v>
      </c>
      <c r="BI107" s="29">
        <f>F107*AP107</f>
        <v>0</v>
      </c>
      <c r="BJ107" s="29">
        <f>F107*G107</f>
        <v>0</v>
      </c>
      <c r="BK107" s="29"/>
      <c r="BL107" s="29">
        <v>96</v>
      </c>
      <c r="BW107" s="29">
        <v>21</v>
      </c>
      <c r="BX107" s="5" t="s">
        <v>244</v>
      </c>
    </row>
    <row r="108" spans="1:76" ht="14.4" x14ac:dyDescent="0.3">
      <c r="A108" s="32"/>
      <c r="C108" s="33" t="s">
        <v>245</v>
      </c>
      <c r="D108" s="33" t="s">
        <v>246</v>
      </c>
      <c r="F108" s="34">
        <v>26.891999999999999</v>
      </c>
      <c r="K108" s="35"/>
    </row>
    <row r="109" spans="1:76" ht="14.4" x14ac:dyDescent="0.3">
      <c r="A109" s="2" t="s">
        <v>148</v>
      </c>
      <c r="B109" s="3" t="s">
        <v>247</v>
      </c>
      <c r="C109" s="87" t="s">
        <v>248</v>
      </c>
      <c r="D109" s="84"/>
      <c r="E109" s="3" t="s">
        <v>249</v>
      </c>
      <c r="F109" s="29">
        <v>1</v>
      </c>
      <c r="G109" s="29">
        <v>0</v>
      </c>
      <c r="H109" s="29">
        <f>F109*AO109</f>
        <v>0</v>
      </c>
      <c r="I109" s="29">
        <f>F109*AP109</f>
        <v>0</v>
      </c>
      <c r="J109" s="29">
        <f>F109*G109</f>
        <v>0</v>
      </c>
      <c r="K109" s="30" t="s">
        <v>250</v>
      </c>
      <c r="Z109" s="29">
        <f>IF(AQ109="5",BJ109,0)</f>
        <v>0</v>
      </c>
      <c r="AB109" s="29">
        <f>IF(AQ109="1",BH109,0)</f>
        <v>0</v>
      </c>
      <c r="AC109" s="29">
        <f>IF(AQ109="1",BI109,0)</f>
        <v>0</v>
      </c>
      <c r="AD109" s="29">
        <f>IF(AQ109="7",BH109,0)</f>
        <v>0</v>
      </c>
      <c r="AE109" s="29">
        <f>IF(AQ109="7",BI109,0)</f>
        <v>0</v>
      </c>
      <c r="AF109" s="29">
        <f>IF(AQ109="2",BH109,0)</f>
        <v>0</v>
      </c>
      <c r="AG109" s="29">
        <f>IF(AQ109="2",BI109,0)</f>
        <v>0</v>
      </c>
      <c r="AH109" s="29">
        <f>IF(AQ109="0",BJ109,0)</f>
        <v>0</v>
      </c>
      <c r="AI109" s="11" t="s">
        <v>55</v>
      </c>
      <c r="AJ109" s="29">
        <f>IF(AN109=0,J109,0)</f>
        <v>0</v>
      </c>
      <c r="AK109" s="29">
        <f>IF(AN109=12,J109,0)</f>
        <v>0</v>
      </c>
      <c r="AL109" s="29">
        <f>IF(AN109=21,J109,0)</f>
        <v>0</v>
      </c>
      <c r="AN109" s="29">
        <v>21</v>
      </c>
      <c r="AO109" s="29">
        <f>G109*0</f>
        <v>0</v>
      </c>
      <c r="AP109" s="29">
        <f>G109*(1-0)</f>
        <v>0</v>
      </c>
      <c r="AQ109" s="31" t="s">
        <v>56</v>
      </c>
      <c r="AV109" s="29">
        <f>AW109+AX109</f>
        <v>0</v>
      </c>
      <c r="AW109" s="29">
        <f>F109*AO109</f>
        <v>0</v>
      </c>
      <c r="AX109" s="29">
        <f>F109*AP109</f>
        <v>0</v>
      </c>
      <c r="AY109" s="31" t="s">
        <v>230</v>
      </c>
      <c r="AZ109" s="31" t="s">
        <v>62</v>
      </c>
      <c r="BA109" s="11" t="s">
        <v>63</v>
      </c>
      <c r="BC109" s="29">
        <f>AW109+AX109</f>
        <v>0</v>
      </c>
      <c r="BD109" s="29">
        <f>G109/(100-BE109)*100</f>
        <v>0</v>
      </c>
      <c r="BE109" s="29">
        <v>0</v>
      </c>
      <c r="BF109" s="29">
        <f>109</f>
        <v>109</v>
      </c>
      <c r="BH109" s="29">
        <f>F109*AO109</f>
        <v>0</v>
      </c>
      <c r="BI109" s="29">
        <f>F109*AP109</f>
        <v>0</v>
      </c>
      <c r="BJ109" s="29">
        <f>F109*G109</f>
        <v>0</v>
      </c>
      <c r="BK109" s="29"/>
      <c r="BL109" s="29">
        <v>96</v>
      </c>
      <c r="BW109" s="29">
        <v>21</v>
      </c>
      <c r="BX109" s="5" t="s">
        <v>248</v>
      </c>
    </row>
    <row r="110" spans="1:76" ht="14.4" x14ac:dyDescent="0.3">
      <c r="A110" s="2" t="s">
        <v>251</v>
      </c>
      <c r="B110" s="3" t="s">
        <v>252</v>
      </c>
      <c r="C110" s="87" t="s">
        <v>253</v>
      </c>
      <c r="D110" s="84"/>
      <c r="E110" s="3" t="s">
        <v>59</v>
      </c>
      <c r="F110" s="29">
        <v>148.988</v>
      </c>
      <c r="G110" s="29">
        <v>0</v>
      </c>
      <c r="H110" s="29">
        <f>F110*AO110</f>
        <v>0</v>
      </c>
      <c r="I110" s="29">
        <f>F110*AP110</f>
        <v>0</v>
      </c>
      <c r="J110" s="29">
        <f>F110*G110</f>
        <v>0</v>
      </c>
      <c r="K110" s="30" t="s">
        <v>60</v>
      </c>
      <c r="Z110" s="29">
        <f>IF(AQ110="5",BJ110,0)</f>
        <v>0</v>
      </c>
      <c r="AB110" s="29">
        <f>IF(AQ110="1",BH110,0)</f>
        <v>0</v>
      </c>
      <c r="AC110" s="29">
        <f>IF(AQ110="1",BI110,0)</f>
        <v>0</v>
      </c>
      <c r="AD110" s="29">
        <f>IF(AQ110="7",BH110,0)</f>
        <v>0</v>
      </c>
      <c r="AE110" s="29">
        <f>IF(AQ110="7",BI110,0)</f>
        <v>0</v>
      </c>
      <c r="AF110" s="29">
        <f>IF(AQ110="2",BH110,0)</f>
        <v>0</v>
      </c>
      <c r="AG110" s="29">
        <f>IF(AQ110="2",BI110,0)</f>
        <v>0</v>
      </c>
      <c r="AH110" s="29">
        <f>IF(AQ110="0",BJ110,0)</f>
        <v>0</v>
      </c>
      <c r="AI110" s="11" t="s">
        <v>55</v>
      </c>
      <c r="AJ110" s="29">
        <f>IF(AN110=0,J110,0)</f>
        <v>0</v>
      </c>
      <c r="AK110" s="29">
        <f>IF(AN110=12,J110,0)</f>
        <v>0</v>
      </c>
      <c r="AL110" s="29">
        <f>IF(AN110=21,J110,0)</f>
        <v>0</v>
      </c>
      <c r="AN110" s="29">
        <v>21</v>
      </c>
      <c r="AO110" s="29">
        <f>G110*0</f>
        <v>0</v>
      </c>
      <c r="AP110" s="29">
        <f>G110*(1-0)</f>
        <v>0</v>
      </c>
      <c r="AQ110" s="31" t="s">
        <v>56</v>
      </c>
      <c r="AV110" s="29">
        <f>AW110+AX110</f>
        <v>0</v>
      </c>
      <c r="AW110" s="29">
        <f>F110*AO110</f>
        <v>0</v>
      </c>
      <c r="AX110" s="29">
        <f>F110*AP110</f>
        <v>0</v>
      </c>
      <c r="AY110" s="31" t="s">
        <v>230</v>
      </c>
      <c r="AZ110" s="31" t="s">
        <v>62</v>
      </c>
      <c r="BA110" s="11" t="s">
        <v>63</v>
      </c>
      <c r="BC110" s="29">
        <f>AW110+AX110</f>
        <v>0</v>
      </c>
      <c r="BD110" s="29">
        <f>G110/(100-BE110)*100</f>
        <v>0</v>
      </c>
      <c r="BE110" s="29">
        <v>0</v>
      </c>
      <c r="BF110" s="29">
        <f>110</f>
        <v>110</v>
      </c>
      <c r="BH110" s="29">
        <f>F110*AO110</f>
        <v>0</v>
      </c>
      <c r="BI110" s="29">
        <f>F110*AP110</f>
        <v>0</v>
      </c>
      <c r="BJ110" s="29">
        <f>F110*G110</f>
        <v>0</v>
      </c>
      <c r="BK110" s="29"/>
      <c r="BL110" s="29">
        <v>96</v>
      </c>
      <c r="BW110" s="29">
        <v>21</v>
      </c>
      <c r="BX110" s="5" t="s">
        <v>253</v>
      </c>
    </row>
    <row r="111" spans="1:76" ht="14.4" x14ac:dyDescent="0.3">
      <c r="A111" s="32"/>
      <c r="C111" s="33" t="s">
        <v>254</v>
      </c>
      <c r="D111" s="33" t="s">
        <v>210</v>
      </c>
      <c r="F111" s="34">
        <v>73.072000000000003</v>
      </c>
      <c r="K111" s="35"/>
    </row>
    <row r="112" spans="1:76" ht="14.4" x14ac:dyDescent="0.3">
      <c r="A112" s="32"/>
      <c r="C112" s="33" t="s">
        <v>255</v>
      </c>
      <c r="D112" s="33" t="s">
        <v>213</v>
      </c>
      <c r="F112" s="34">
        <v>75.915999999999997</v>
      </c>
      <c r="K112" s="35"/>
    </row>
    <row r="113" spans="1:76" ht="14.4" x14ac:dyDescent="0.3">
      <c r="A113" s="2" t="s">
        <v>256</v>
      </c>
      <c r="B113" s="3" t="s">
        <v>257</v>
      </c>
      <c r="C113" s="87" t="s">
        <v>258</v>
      </c>
      <c r="D113" s="84"/>
      <c r="E113" s="3" t="s">
        <v>73</v>
      </c>
      <c r="F113" s="29">
        <v>64</v>
      </c>
      <c r="G113" s="29">
        <v>0</v>
      </c>
      <c r="H113" s="29">
        <f>F113*AO113</f>
        <v>0</v>
      </c>
      <c r="I113" s="29">
        <f>F113*AP113</f>
        <v>0</v>
      </c>
      <c r="J113" s="29">
        <f>F113*G113</f>
        <v>0</v>
      </c>
      <c r="K113" s="30" t="s">
        <v>60</v>
      </c>
      <c r="Z113" s="29">
        <f>IF(AQ113="5",BJ113,0)</f>
        <v>0</v>
      </c>
      <c r="AB113" s="29">
        <f>IF(AQ113="1",BH113,0)</f>
        <v>0</v>
      </c>
      <c r="AC113" s="29">
        <f>IF(AQ113="1",BI113,0)</f>
        <v>0</v>
      </c>
      <c r="AD113" s="29">
        <f>IF(AQ113="7",BH113,0)</f>
        <v>0</v>
      </c>
      <c r="AE113" s="29">
        <f>IF(AQ113="7",BI113,0)</f>
        <v>0</v>
      </c>
      <c r="AF113" s="29">
        <f>IF(AQ113="2",BH113,0)</f>
        <v>0</v>
      </c>
      <c r="AG113" s="29">
        <f>IF(AQ113="2",BI113,0)</f>
        <v>0</v>
      </c>
      <c r="AH113" s="29">
        <f>IF(AQ113="0",BJ113,0)</f>
        <v>0</v>
      </c>
      <c r="AI113" s="11" t="s">
        <v>55</v>
      </c>
      <c r="AJ113" s="29">
        <f>IF(AN113=0,J113,0)</f>
        <v>0</v>
      </c>
      <c r="AK113" s="29">
        <f>IF(AN113=12,J113,0)</f>
        <v>0</v>
      </c>
      <c r="AL113" s="29">
        <f>IF(AN113=21,J113,0)</f>
        <v>0</v>
      </c>
      <c r="AN113" s="29">
        <v>21</v>
      </c>
      <c r="AO113" s="29">
        <f>G113*0.098315527</f>
        <v>0</v>
      </c>
      <c r="AP113" s="29">
        <f>G113*(1-0.098315527)</f>
        <v>0</v>
      </c>
      <c r="AQ113" s="31" t="s">
        <v>56</v>
      </c>
      <c r="AV113" s="29">
        <f>AW113+AX113</f>
        <v>0</v>
      </c>
      <c r="AW113" s="29">
        <f>F113*AO113</f>
        <v>0</v>
      </c>
      <c r="AX113" s="29">
        <f>F113*AP113</f>
        <v>0</v>
      </c>
      <c r="AY113" s="31" t="s">
        <v>230</v>
      </c>
      <c r="AZ113" s="31" t="s">
        <v>62</v>
      </c>
      <c r="BA113" s="11" t="s">
        <v>63</v>
      </c>
      <c r="BC113" s="29">
        <f>AW113+AX113</f>
        <v>0</v>
      </c>
      <c r="BD113" s="29">
        <f>G113/(100-BE113)*100</f>
        <v>0</v>
      </c>
      <c r="BE113" s="29">
        <v>0</v>
      </c>
      <c r="BF113" s="29">
        <f>113</f>
        <v>113</v>
      </c>
      <c r="BH113" s="29">
        <f>F113*AO113</f>
        <v>0</v>
      </c>
      <c r="BI113" s="29">
        <f>F113*AP113</f>
        <v>0</v>
      </c>
      <c r="BJ113" s="29">
        <f>F113*G113</f>
        <v>0</v>
      </c>
      <c r="BK113" s="29"/>
      <c r="BL113" s="29">
        <v>96</v>
      </c>
      <c r="BW113" s="29">
        <v>21</v>
      </c>
      <c r="BX113" s="5" t="s">
        <v>258</v>
      </c>
    </row>
    <row r="114" spans="1:76" ht="14.4" x14ac:dyDescent="0.3">
      <c r="A114" s="32"/>
      <c r="C114" s="33" t="s">
        <v>259</v>
      </c>
      <c r="D114" s="33" t="s">
        <v>51</v>
      </c>
      <c r="F114" s="34">
        <v>64</v>
      </c>
      <c r="K114" s="35"/>
    </row>
    <row r="115" spans="1:76" ht="14.4" x14ac:dyDescent="0.3">
      <c r="A115" s="2" t="s">
        <v>260</v>
      </c>
      <c r="B115" s="3" t="s">
        <v>261</v>
      </c>
      <c r="C115" s="87" t="s">
        <v>262</v>
      </c>
      <c r="D115" s="84"/>
      <c r="E115" s="3" t="s">
        <v>59</v>
      </c>
      <c r="F115" s="29">
        <v>17.600000000000001</v>
      </c>
      <c r="G115" s="29">
        <v>0</v>
      </c>
      <c r="H115" s="29">
        <f>F115*AO115</f>
        <v>0</v>
      </c>
      <c r="I115" s="29">
        <f>F115*AP115</f>
        <v>0</v>
      </c>
      <c r="J115" s="29">
        <f>F115*G115</f>
        <v>0</v>
      </c>
      <c r="K115" s="30" t="s">
        <v>60</v>
      </c>
      <c r="Z115" s="29">
        <f>IF(AQ115="5",BJ115,0)</f>
        <v>0</v>
      </c>
      <c r="AB115" s="29">
        <f>IF(AQ115="1",BH115,0)</f>
        <v>0</v>
      </c>
      <c r="AC115" s="29">
        <f>IF(AQ115="1",BI115,0)</f>
        <v>0</v>
      </c>
      <c r="AD115" s="29">
        <f>IF(AQ115="7",BH115,0)</f>
        <v>0</v>
      </c>
      <c r="AE115" s="29">
        <f>IF(AQ115="7",BI115,0)</f>
        <v>0</v>
      </c>
      <c r="AF115" s="29">
        <f>IF(AQ115="2",BH115,0)</f>
        <v>0</v>
      </c>
      <c r="AG115" s="29">
        <f>IF(AQ115="2",BI115,0)</f>
        <v>0</v>
      </c>
      <c r="AH115" s="29">
        <f>IF(AQ115="0",BJ115,0)</f>
        <v>0</v>
      </c>
      <c r="AI115" s="11" t="s">
        <v>55</v>
      </c>
      <c r="AJ115" s="29">
        <f>IF(AN115=0,J115,0)</f>
        <v>0</v>
      </c>
      <c r="AK115" s="29">
        <f>IF(AN115=12,J115,0)</f>
        <v>0</v>
      </c>
      <c r="AL115" s="29">
        <f>IF(AN115=21,J115,0)</f>
        <v>0</v>
      </c>
      <c r="AN115" s="29">
        <v>21</v>
      </c>
      <c r="AO115" s="29">
        <f>G115*0</f>
        <v>0</v>
      </c>
      <c r="AP115" s="29">
        <f>G115*(1-0)</f>
        <v>0</v>
      </c>
      <c r="AQ115" s="31" t="s">
        <v>56</v>
      </c>
      <c r="AV115" s="29">
        <f>AW115+AX115</f>
        <v>0</v>
      </c>
      <c r="AW115" s="29">
        <f>F115*AO115</f>
        <v>0</v>
      </c>
      <c r="AX115" s="29">
        <f>F115*AP115</f>
        <v>0</v>
      </c>
      <c r="AY115" s="31" t="s">
        <v>230</v>
      </c>
      <c r="AZ115" s="31" t="s">
        <v>62</v>
      </c>
      <c r="BA115" s="11" t="s">
        <v>63</v>
      </c>
      <c r="BC115" s="29">
        <f>AW115+AX115</f>
        <v>0</v>
      </c>
      <c r="BD115" s="29">
        <f>G115/(100-BE115)*100</f>
        <v>0</v>
      </c>
      <c r="BE115" s="29">
        <v>0</v>
      </c>
      <c r="BF115" s="29">
        <f>115</f>
        <v>115</v>
      </c>
      <c r="BH115" s="29">
        <f>F115*AO115</f>
        <v>0</v>
      </c>
      <c r="BI115" s="29">
        <f>F115*AP115</f>
        <v>0</v>
      </c>
      <c r="BJ115" s="29">
        <f>F115*G115</f>
        <v>0</v>
      </c>
      <c r="BK115" s="29"/>
      <c r="BL115" s="29">
        <v>96</v>
      </c>
      <c r="BW115" s="29">
        <v>21</v>
      </c>
      <c r="BX115" s="5" t="s">
        <v>262</v>
      </c>
    </row>
    <row r="116" spans="1:76" ht="14.4" x14ac:dyDescent="0.3">
      <c r="A116" s="32"/>
      <c r="C116" s="33" t="s">
        <v>263</v>
      </c>
      <c r="D116" s="33" t="s">
        <v>51</v>
      </c>
      <c r="F116" s="34">
        <v>17.600000000000001</v>
      </c>
      <c r="K116" s="35"/>
    </row>
    <row r="117" spans="1:76" ht="14.4" x14ac:dyDescent="0.3">
      <c r="A117" s="25" t="s">
        <v>51</v>
      </c>
      <c r="B117" s="26" t="s">
        <v>264</v>
      </c>
      <c r="C117" s="143" t="s">
        <v>265</v>
      </c>
      <c r="D117" s="144"/>
      <c r="E117" s="27" t="s">
        <v>4</v>
      </c>
      <c r="F117" s="27" t="s">
        <v>4</v>
      </c>
      <c r="G117" s="27" t="s">
        <v>4</v>
      </c>
      <c r="H117" s="1">
        <f>SUM(H118:H118)</f>
        <v>0</v>
      </c>
      <c r="I117" s="1">
        <f>SUM(I118:I118)</f>
        <v>0</v>
      </c>
      <c r="J117" s="1">
        <f>SUM(J118:J118)</f>
        <v>0</v>
      </c>
      <c r="K117" s="28" t="s">
        <v>51</v>
      </c>
      <c r="AI117" s="11" t="s">
        <v>55</v>
      </c>
      <c r="AS117" s="1">
        <f>SUM(AJ118:AJ118)</f>
        <v>0</v>
      </c>
      <c r="AT117" s="1">
        <f>SUM(AK118:AK118)</f>
        <v>0</v>
      </c>
      <c r="AU117" s="1">
        <f>SUM(AL118:AL118)</f>
        <v>0</v>
      </c>
    </row>
    <row r="118" spans="1:76" ht="14.4" x14ac:dyDescent="0.3">
      <c r="A118" s="2" t="s">
        <v>266</v>
      </c>
      <c r="B118" s="3" t="s">
        <v>267</v>
      </c>
      <c r="C118" s="87" t="s">
        <v>268</v>
      </c>
      <c r="D118" s="84"/>
      <c r="E118" s="3" t="s">
        <v>269</v>
      </c>
      <c r="F118" s="29">
        <v>252.16336000000001</v>
      </c>
      <c r="G118" s="29">
        <v>0</v>
      </c>
      <c r="H118" s="29">
        <f>F118*AO118</f>
        <v>0</v>
      </c>
      <c r="I118" s="29">
        <f>F118*AP118</f>
        <v>0</v>
      </c>
      <c r="J118" s="29">
        <f>F118*G118</f>
        <v>0</v>
      </c>
      <c r="K118" s="30" t="s">
        <v>60</v>
      </c>
      <c r="Z118" s="29">
        <f>IF(AQ118="5",BJ118,0)</f>
        <v>0</v>
      </c>
      <c r="AB118" s="29">
        <f>IF(AQ118="1",BH118,0)</f>
        <v>0</v>
      </c>
      <c r="AC118" s="29">
        <f>IF(AQ118="1",BI118,0)</f>
        <v>0</v>
      </c>
      <c r="AD118" s="29">
        <f>IF(AQ118="7",BH118,0)</f>
        <v>0</v>
      </c>
      <c r="AE118" s="29">
        <f>IF(AQ118="7",BI118,0)</f>
        <v>0</v>
      </c>
      <c r="AF118" s="29">
        <f>IF(AQ118="2",BH118,0)</f>
        <v>0</v>
      </c>
      <c r="AG118" s="29">
        <f>IF(AQ118="2",BI118,0)</f>
        <v>0</v>
      </c>
      <c r="AH118" s="29">
        <f>IF(AQ118="0",BJ118,0)</f>
        <v>0</v>
      </c>
      <c r="AI118" s="11" t="s">
        <v>55</v>
      </c>
      <c r="AJ118" s="29">
        <f>IF(AN118=0,J118,0)</f>
        <v>0</v>
      </c>
      <c r="AK118" s="29">
        <f>IF(AN118=12,J118,0)</f>
        <v>0</v>
      </c>
      <c r="AL118" s="29">
        <f>IF(AN118=21,J118,0)</f>
        <v>0</v>
      </c>
      <c r="AN118" s="29">
        <v>21</v>
      </c>
      <c r="AO118" s="29">
        <f>G118*0</f>
        <v>0</v>
      </c>
      <c r="AP118" s="29">
        <f>G118*(1-0)</f>
        <v>0</v>
      </c>
      <c r="AQ118" s="31" t="s">
        <v>100</v>
      </c>
      <c r="AV118" s="29">
        <f>AW118+AX118</f>
        <v>0</v>
      </c>
      <c r="AW118" s="29">
        <f>F118*AO118</f>
        <v>0</v>
      </c>
      <c r="AX118" s="29">
        <f>F118*AP118</f>
        <v>0</v>
      </c>
      <c r="AY118" s="31" t="s">
        <v>270</v>
      </c>
      <c r="AZ118" s="31" t="s">
        <v>62</v>
      </c>
      <c r="BA118" s="11" t="s">
        <v>63</v>
      </c>
      <c r="BC118" s="29">
        <f>AW118+AX118</f>
        <v>0</v>
      </c>
      <c r="BD118" s="29">
        <f>G118/(100-BE118)*100</f>
        <v>0</v>
      </c>
      <c r="BE118" s="29">
        <v>0</v>
      </c>
      <c r="BF118" s="29">
        <f>118</f>
        <v>118</v>
      </c>
      <c r="BH118" s="29">
        <f>F118*AO118</f>
        <v>0</v>
      </c>
      <c r="BI118" s="29">
        <f>F118*AP118</f>
        <v>0</v>
      </c>
      <c r="BJ118" s="29">
        <f>F118*G118</f>
        <v>0</v>
      </c>
      <c r="BK118" s="29"/>
      <c r="BL118" s="29"/>
      <c r="BW118" s="29">
        <v>21</v>
      </c>
      <c r="BX118" s="5" t="s">
        <v>268</v>
      </c>
    </row>
    <row r="119" spans="1:76" ht="14.4" x14ac:dyDescent="0.3">
      <c r="A119" s="25" t="s">
        <v>51</v>
      </c>
      <c r="B119" s="26" t="s">
        <v>271</v>
      </c>
      <c r="C119" s="143" t="s">
        <v>272</v>
      </c>
      <c r="D119" s="144"/>
      <c r="E119" s="27" t="s">
        <v>4</v>
      </c>
      <c r="F119" s="27" t="s">
        <v>4</v>
      </c>
      <c r="G119" s="27" t="s">
        <v>4</v>
      </c>
      <c r="H119" s="1">
        <f>SUM(H120:H120)</f>
        <v>0</v>
      </c>
      <c r="I119" s="1">
        <f>SUM(I120:I120)</f>
        <v>0</v>
      </c>
      <c r="J119" s="1">
        <f>SUM(J120:J120)</f>
        <v>0</v>
      </c>
      <c r="K119" s="28" t="s">
        <v>51</v>
      </c>
      <c r="AI119" s="11" t="s">
        <v>55</v>
      </c>
      <c r="AS119" s="1">
        <f>SUM(AJ120:AJ120)</f>
        <v>0</v>
      </c>
      <c r="AT119" s="1">
        <f>SUM(AK120:AK120)</f>
        <v>0</v>
      </c>
      <c r="AU119" s="1">
        <f>SUM(AL120:AL120)</f>
        <v>0</v>
      </c>
    </row>
    <row r="120" spans="1:76" ht="14.4" x14ac:dyDescent="0.3">
      <c r="A120" s="2" t="s">
        <v>273</v>
      </c>
      <c r="B120" s="3" t="s">
        <v>274</v>
      </c>
      <c r="C120" s="87" t="s">
        <v>275</v>
      </c>
      <c r="D120" s="84"/>
      <c r="E120" s="3" t="s">
        <v>73</v>
      </c>
      <c r="F120" s="29">
        <v>18.5</v>
      </c>
      <c r="G120" s="29">
        <v>0</v>
      </c>
      <c r="H120" s="29">
        <f>F120*AO120</f>
        <v>0</v>
      </c>
      <c r="I120" s="29">
        <f>F120*AP120</f>
        <v>0</v>
      </c>
      <c r="J120" s="29">
        <f>F120*G120</f>
        <v>0</v>
      </c>
      <c r="K120" s="30" t="s">
        <v>60</v>
      </c>
      <c r="Z120" s="29">
        <f>IF(AQ120="5",BJ120,0)</f>
        <v>0</v>
      </c>
      <c r="AB120" s="29">
        <f>IF(AQ120="1",BH120,0)</f>
        <v>0</v>
      </c>
      <c r="AC120" s="29">
        <f>IF(AQ120="1",BI120,0)</f>
        <v>0</v>
      </c>
      <c r="AD120" s="29">
        <f>IF(AQ120="7",BH120,0)</f>
        <v>0</v>
      </c>
      <c r="AE120" s="29">
        <f>IF(AQ120="7",BI120,0)</f>
        <v>0</v>
      </c>
      <c r="AF120" s="29">
        <f>IF(AQ120="2",BH120,0)</f>
        <v>0</v>
      </c>
      <c r="AG120" s="29">
        <f>IF(AQ120="2",BI120,0)</f>
        <v>0</v>
      </c>
      <c r="AH120" s="29">
        <f>IF(AQ120="0",BJ120,0)</f>
        <v>0</v>
      </c>
      <c r="AI120" s="11" t="s">
        <v>55</v>
      </c>
      <c r="AJ120" s="29">
        <f>IF(AN120=0,J120,0)</f>
        <v>0</v>
      </c>
      <c r="AK120" s="29">
        <f>IF(AN120=12,J120,0)</f>
        <v>0</v>
      </c>
      <c r="AL120" s="29">
        <f>IF(AN120=21,J120,0)</f>
        <v>0</v>
      </c>
      <c r="AN120" s="29">
        <v>21</v>
      </c>
      <c r="AO120" s="29">
        <f>G120*0</f>
        <v>0</v>
      </c>
      <c r="AP120" s="29">
        <f>G120*(1-0)</f>
        <v>0</v>
      </c>
      <c r="AQ120" s="31" t="s">
        <v>117</v>
      </c>
      <c r="AV120" s="29">
        <f>AW120+AX120</f>
        <v>0</v>
      </c>
      <c r="AW120" s="29">
        <f>F120*AO120</f>
        <v>0</v>
      </c>
      <c r="AX120" s="29">
        <f>F120*AP120</f>
        <v>0</v>
      </c>
      <c r="AY120" s="31" t="s">
        <v>276</v>
      </c>
      <c r="AZ120" s="31" t="s">
        <v>277</v>
      </c>
      <c r="BA120" s="11" t="s">
        <v>63</v>
      </c>
      <c r="BC120" s="29">
        <f>AW120+AX120</f>
        <v>0</v>
      </c>
      <c r="BD120" s="29">
        <f>G120/(100-BE120)*100</f>
        <v>0</v>
      </c>
      <c r="BE120" s="29">
        <v>0</v>
      </c>
      <c r="BF120" s="29">
        <f>120</f>
        <v>120</v>
      </c>
      <c r="BH120" s="29">
        <f>F120*AO120</f>
        <v>0</v>
      </c>
      <c r="BI120" s="29">
        <f>F120*AP120</f>
        <v>0</v>
      </c>
      <c r="BJ120" s="29">
        <f>F120*G120</f>
        <v>0</v>
      </c>
      <c r="BK120" s="29"/>
      <c r="BL120" s="29">
        <v>722</v>
      </c>
      <c r="BW120" s="29">
        <v>21</v>
      </c>
      <c r="BX120" s="5" t="s">
        <v>275</v>
      </c>
    </row>
    <row r="121" spans="1:76" ht="14.4" x14ac:dyDescent="0.3">
      <c r="A121" s="32"/>
      <c r="C121" s="33" t="s">
        <v>278</v>
      </c>
      <c r="D121" s="33" t="s">
        <v>105</v>
      </c>
      <c r="F121" s="34">
        <v>18.5</v>
      </c>
      <c r="K121" s="35"/>
    </row>
    <row r="122" spans="1:76" ht="14.4" x14ac:dyDescent="0.3">
      <c r="A122" s="25" t="s">
        <v>51</v>
      </c>
      <c r="B122" s="26" t="s">
        <v>279</v>
      </c>
      <c r="C122" s="143" t="s">
        <v>280</v>
      </c>
      <c r="D122" s="144"/>
      <c r="E122" s="27" t="s">
        <v>4</v>
      </c>
      <c r="F122" s="27" t="s">
        <v>4</v>
      </c>
      <c r="G122" s="27" t="s">
        <v>4</v>
      </c>
      <c r="H122" s="1">
        <f>SUM(H123:H127)</f>
        <v>0</v>
      </c>
      <c r="I122" s="1">
        <f>SUM(I123:I127)</f>
        <v>0</v>
      </c>
      <c r="J122" s="1">
        <f>SUM(J123:J127)</f>
        <v>0</v>
      </c>
      <c r="K122" s="28" t="s">
        <v>51</v>
      </c>
      <c r="AI122" s="11" t="s">
        <v>55</v>
      </c>
      <c r="AS122" s="1">
        <f>SUM(AJ123:AJ127)</f>
        <v>0</v>
      </c>
      <c r="AT122" s="1">
        <f>SUM(AK123:AK127)</f>
        <v>0</v>
      </c>
      <c r="AU122" s="1">
        <f>SUM(AL123:AL127)</f>
        <v>0</v>
      </c>
    </row>
    <row r="123" spans="1:76" ht="14.4" x14ac:dyDescent="0.3">
      <c r="A123" s="2" t="s">
        <v>281</v>
      </c>
      <c r="B123" s="3" t="s">
        <v>282</v>
      </c>
      <c r="C123" s="87" t="s">
        <v>283</v>
      </c>
      <c r="D123" s="84"/>
      <c r="E123" s="3" t="s">
        <v>59</v>
      </c>
      <c r="F123" s="29">
        <v>562.65800000000002</v>
      </c>
      <c r="G123" s="29">
        <v>0</v>
      </c>
      <c r="H123" s="29">
        <f>F123*AO123</f>
        <v>0</v>
      </c>
      <c r="I123" s="29">
        <f>F123*AP123</f>
        <v>0</v>
      </c>
      <c r="J123" s="29">
        <f>F123*G123</f>
        <v>0</v>
      </c>
      <c r="K123" s="30" t="s">
        <v>60</v>
      </c>
      <c r="Z123" s="29">
        <f>IF(AQ123="5",BJ123,0)</f>
        <v>0</v>
      </c>
      <c r="AB123" s="29">
        <f>IF(AQ123="1",BH123,0)</f>
        <v>0</v>
      </c>
      <c r="AC123" s="29">
        <f>IF(AQ123="1",BI123,0)</f>
        <v>0</v>
      </c>
      <c r="AD123" s="29">
        <f>IF(AQ123="7",BH123,0)</f>
        <v>0</v>
      </c>
      <c r="AE123" s="29">
        <f>IF(AQ123="7",BI123,0)</f>
        <v>0</v>
      </c>
      <c r="AF123" s="29">
        <f>IF(AQ123="2",BH123,0)</f>
        <v>0</v>
      </c>
      <c r="AG123" s="29">
        <f>IF(AQ123="2",BI123,0)</f>
        <v>0</v>
      </c>
      <c r="AH123" s="29">
        <f>IF(AQ123="0",BJ123,0)</f>
        <v>0</v>
      </c>
      <c r="AI123" s="11" t="s">
        <v>55</v>
      </c>
      <c r="AJ123" s="29">
        <f>IF(AN123=0,J123,0)</f>
        <v>0</v>
      </c>
      <c r="AK123" s="29">
        <f>IF(AN123=12,J123,0)</f>
        <v>0</v>
      </c>
      <c r="AL123" s="29">
        <f>IF(AN123=21,J123,0)</f>
        <v>0</v>
      </c>
      <c r="AN123" s="29">
        <v>21</v>
      </c>
      <c r="AO123" s="29">
        <f>G123*0</f>
        <v>0</v>
      </c>
      <c r="AP123" s="29">
        <f>G123*(1-0)</f>
        <v>0</v>
      </c>
      <c r="AQ123" s="31" t="s">
        <v>117</v>
      </c>
      <c r="AV123" s="29">
        <f>AW123+AX123</f>
        <v>0</v>
      </c>
      <c r="AW123" s="29">
        <f>F123*AO123</f>
        <v>0</v>
      </c>
      <c r="AX123" s="29">
        <f>F123*AP123</f>
        <v>0</v>
      </c>
      <c r="AY123" s="31" t="s">
        <v>284</v>
      </c>
      <c r="AZ123" s="31" t="s">
        <v>285</v>
      </c>
      <c r="BA123" s="11" t="s">
        <v>63</v>
      </c>
      <c r="BC123" s="29">
        <f>AW123+AX123</f>
        <v>0</v>
      </c>
      <c r="BD123" s="29">
        <f>G123/(100-BE123)*100</f>
        <v>0</v>
      </c>
      <c r="BE123" s="29">
        <v>0</v>
      </c>
      <c r="BF123" s="29">
        <f>123</f>
        <v>123</v>
      </c>
      <c r="BH123" s="29">
        <f>F123*AO123</f>
        <v>0</v>
      </c>
      <c r="BI123" s="29">
        <f>F123*AP123</f>
        <v>0</v>
      </c>
      <c r="BJ123" s="29">
        <f>F123*G123</f>
        <v>0</v>
      </c>
      <c r="BK123" s="29"/>
      <c r="BL123" s="29">
        <v>762</v>
      </c>
      <c r="BW123" s="29">
        <v>21</v>
      </c>
      <c r="BX123" s="5" t="s">
        <v>283</v>
      </c>
    </row>
    <row r="124" spans="1:76" ht="14.4" x14ac:dyDescent="0.3">
      <c r="A124" s="32"/>
      <c r="C124" s="33" t="s">
        <v>286</v>
      </c>
      <c r="D124" s="33" t="s">
        <v>210</v>
      </c>
      <c r="F124" s="34">
        <v>182.98400000000001</v>
      </c>
      <c r="K124" s="35"/>
    </row>
    <row r="125" spans="1:76" ht="14.4" x14ac:dyDescent="0.3">
      <c r="A125" s="32"/>
      <c r="C125" s="33" t="s">
        <v>287</v>
      </c>
      <c r="D125" s="33" t="s">
        <v>211</v>
      </c>
      <c r="F125" s="34">
        <v>186.01</v>
      </c>
      <c r="K125" s="35"/>
    </row>
    <row r="126" spans="1:76" ht="14.4" x14ac:dyDescent="0.3">
      <c r="A126" s="32"/>
      <c r="C126" s="33" t="s">
        <v>288</v>
      </c>
      <c r="D126" s="33" t="s">
        <v>213</v>
      </c>
      <c r="F126" s="34">
        <v>193.66399999999999</v>
      </c>
      <c r="K126" s="35"/>
    </row>
    <row r="127" spans="1:76" ht="14.4" x14ac:dyDescent="0.3">
      <c r="A127" s="2" t="s">
        <v>289</v>
      </c>
      <c r="B127" s="3" t="s">
        <v>290</v>
      </c>
      <c r="C127" s="87" t="s">
        <v>291</v>
      </c>
      <c r="D127" s="84"/>
      <c r="E127" s="3" t="s">
        <v>269</v>
      </c>
      <c r="F127" s="29">
        <v>7.8772099999999998</v>
      </c>
      <c r="G127" s="29">
        <v>0</v>
      </c>
      <c r="H127" s="29">
        <f>F127*AO127</f>
        <v>0</v>
      </c>
      <c r="I127" s="29">
        <f>F127*AP127</f>
        <v>0</v>
      </c>
      <c r="J127" s="29">
        <f>F127*G127</f>
        <v>0</v>
      </c>
      <c r="K127" s="30" t="s">
        <v>60</v>
      </c>
      <c r="Z127" s="29">
        <f>IF(AQ127="5",BJ127,0)</f>
        <v>0</v>
      </c>
      <c r="AB127" s="29">
        <f>IF(AQ127="1",BH127,0)</f>
        <v>0</v>
      </c>
      <c r="AC127" s="29">
        <f>IF(AQ127="1",BI127,0)</f>
        <v>0</v>
      </c>
      <c r="AD127" s="29">
        <f>IF(AQ127="7",BH127,0)</f>
        <v>0</v>
      </c>
      <c r="AE127" s="29">
        <f>IF(AQ127="7",BI127,0)</f>
        <v>0</v>
      </c>
      <c r="AF127" s="29">
        <f>IF(AQ127="2",BH127,0)</f>
        <v>0</v>
      </c>
      <c r="AG127" s="29">
        <f>IF(AQ127="2",BI127,0)</f>
        <v>0</v>
      </c>
      <c r="AH127" s="29">
        <f>IF(AQ127="0",BJ127,0)</f>
        <v>0</v>
      </c>
      <c r="AI127" s="11" t="s">
        <v>55</v>
      </c>
      <c r="AJ127" s="29">
        <f>IF(AN127=0,J127,0)</f>
        <v>0</v>
      </c>
      <c r="AK127" s="29">
        <f>IF(AN127=12,J127,0)</f>
        <v>0</v>
      </c>
      <c r="AL127" s="29">
        <f>IF(AN127=21,J127,0)</f>
        <v>0</v>
      </c>
      <c r="AN127" s="29">
        <v>21</v>
      </c>
      <c r="AO127" s="29">
        <f>G127*0</f>
        <v>0</v>
      </c>
      <c r="AP127" s="29">
        <f>G127*(1-0)</f>
        <v>0</v>
      </c>
      <c r="AQ127" s="31" t="s">
        <v>100</v>
      </c>
      <c r="AV127" s="29">
        <f>AW127+AX127</f>
        <v>0</v>
      </c>
      <c r="AW127" s="29">
        <f>F127*AO127</f>
        <v>0</v>
      </c>
      <c r="AX127" s="29">
        <f>F127*AP127</f>
        <v>0</v>
      </c>
      <c r="AY127" s="31" t="s">
        <v>284</v>
      </c>
      <c r="AZ127" s="31" t="s">
        <v>285</v>
      </c>
      <c r="BA127" s="11" t="s">
        <v>63</v>
      </c>
      <c r="BC127" s="29">
        <f>AW127+AX127</f>
        <v>0</v>
      </c>
      <c r="BD127" s="29">
        <f>G127/(100-BE127)*100</f>
        <v>0</v>
      </c>
      <c r="BE127" s="29">
        <v>0</v>
      </c>
      <c r="BF127" s="29">
        <f>127</f>
        <v>127</v>
      </c>
      <c r="BH127" s="29">
        <f>F127*AO127</f>
        <v>0</v>
      </c>
      <c r="BI127" s="29">
        <f>F127*AP127</f>
        <v>0</v>
      </c>
      <c r="BJ127" s="29">
        <f>F127*G127</f>
        <v>0</v>
      </c>
      <c r="BK127" s="29"/>
      <c r="BL127" s="29">
        <v>762</v>
      </c>
      <c r="BW127" s="29">
        <v>21</v>
      </c>
      <c r="BX127" s="5" t="s">
        <v>291</v>
      </c>
    </row>
    <row r="128" spans="1:76" ht="14.4" x14ac:dyDescent="0.3">
      <c r="A128" s="25" t="s">
        <v>51</v>
      </c>
      <c r="B128" s="26" t="s">
        <v>292</v>
      </c>
      <c r="C128" s="143" t="s">
        <v>293</v>
      </c>
      <c r="D128" s="144"/>
      <c r="E128" s="27" t="s">
        <v>4</v>
      </c>
      <c r="F128" s="27" t="s">
        <v>4</v>
      </c>
      <c r="G128" s="27" t="s">
        <v>4</v>
      </c>
      <c r="H128" s="1">
        <f>SUM(H129:H142)</f>
        <v>0</v>
      </c>
      <c r="I128" s="1">
        <f>SUM(I129:I142)</f>
        <v>0</v>
      </c>
      <c r="J128" s="1">
        <f>SUM(J129:J142)</f>
        <v>0</v>
      </c>
      <c r="K128" s="28" t="s">
        <v>51</v>
      </c>
      <c r="AI128" s="11" t="s">
        <v>55</v>
      </c>
      <c r="AS128" s="1">
        <f>SUM(AJ129:AJ142)</f>
        <v>0</v>
      </c>
      <c r="AT128" s="1">
        <f>SUM(AK129:AK142)</f>
        <v>0</v>
      </c>
      <c r="AU128" s="1">
        <f>SUM(AL129:AL142)</f>
        <v>0</v>
      </c>
    </row>
    <row r="129" spans="1:76" ht="14.4" x14ac:dyDescent="0.3">
      <c r="A129" s="2" t="s">
        <v>294</v>
      </c>
      <c r="B129" s="3" t="s">
        <v>295</v>
      </c>
      <c r="C129" s="87" t="s">
        <v>296</v>
      </c>
      <c r="D129" s="84"/>
      <c r="E129" s="3" t="s">
        <v>73</v>
      </c>
      <c r="F129" s="29">
        <v>7.2</v>
      </c>
      <c r="G129" s="29">
        <v>0</v>
      </c>
      <c r="H129" s="29">
        <f>F129*AO129</f>
        <v>0</v>
      </c>
      <c r="I129" s="29">
        <f>F129*AP129</f>
        <v>0</v>
      </c>
      <c r="J129" s="29">
        <f>F129*G129</f>
        <v>0</v>
      </c>
      <c r="K129" s="30" t="s">
        <v>60</v>
      </c>
      <c r="Z129" s="29">
        <f>IF(AQ129="5",BJ129,0)</f>
        <v>0</v>
      </c>
      <c r="AB129" s="29">
        <f>IF(AQ129="1",BH129,0)</f>
        <v>0</v>
      </c>
      <c r="AC129" s="29">
        <f>IF(AQ129="1",BI129,0)</f>
        <v>0</v>
      </c>
      <c r="AD129" s="29">
        <f>IF(AQ129="7",BH129,0)</f>
        <v>0</v>
      </c>
      <c r="AE129" s="29">
        <f>IF(AQ129="7",BI129,0)</f>
        <v>0</v>
      </c>
      <c r="AF129" s="29">
        <f>IF(AQ129="2",BH129,0)</f>
        <v>0</v>
      </c>
      <c r="AG129" s="29">
        <f>IF(AQ129="2",BI129,0)</f>
        <v>0</v>
      </c>
      <c r="AH129" s="29">
        <f>IF(AQ129="0",BJ129,0)</f>
        <v>0</v>
      </c>
      <c r="AI129" s="11" t="s">
        <v>55</v>
      </c>
      <c r="AJ129" s="29">
        <f>IF(AN129=0,J129,0)</f>
        <v>0</v>
      </c>
      <c r="AK129" s="29">
        <f>IF(AN129=12,J129,0)</f>
        <v>0</v>
      </c>
      <c r="AL129" s="29">
        <f>IF(AN129=21,J129,0)</f>
        <v>0</v>
      </c>
      <c r="AN129" s="29">
        <v>21</v>
      </c>
      <c r="AO129" s="29">
        <f>G129*0</f>
        <v>0</v>
      </c>
      <c r="AP129" s="29">
        <f>G129*(1-0)</f>
        <v>0</v>
      </c>
      <c r="AQ129" s="31" t="s">
        <v>117</v>
      </c>
      <c r="AV129" s="29">
        <f>AW129+AX129</f>
        <v>0</v>
      </c>
      <c r="AW129" s="29">
        <f>F129*AO129</f>
        <v>0</v>
      </c>
      <c r="AX129" s="29">
        <f>F129*AP129</f>
        <v>0</v>
      </c>
      <c r="AY129" s="31" t="s">
        <v>297</v>
      </c>
      <c r="AZ129" s="31" t="s">
        <v>285</v>
      </c>
      <c r="BA129" s="11" t="s">
        <v>63</v>
      </c>
      <c r="BC129" s="29">
        <f>AW129+AX129</f>
        <v>0</v>
      </c>
      <c r="BD129" s="29">
        <f>G129/(100-BE129)*100</f>
        <v>0</v>
      </c>
      <c r="BE129" s="29">
        <v>0</v>
      </c>
      <c r="BF129" s="29">
        <f>129</f>
        <v>129</v>
      </c>
      <c r="BH129" s="29">
        <f>F129*AO129</f>
        <v>0</v>
      </c>
      <c r="BI129" s="29">
        <f>F129*AP129</f>
        <v>0</v>
      </c>
      <c r="BJ129" s="29">
        <f>F129*G129</f>
        <v>0</v>
      </c>
      <c r="BK129" s="29"/>
      <c r="BL129" s="29">
        <v>764</v>
      </c>
      <c r="BW129" s="29">
        <v>21</v>
      </c>
      <c r="BX129" s="5" t="s">
        <v>296</v>
      </c>
    </row>
    <row r="130" spans="1:76" ht="14.4" x14ac:dyDescent="0.3">
      <c r="A130" s="32"/>
      <c r="C130" s="33" t="s">
        <v>298</v>
      </c>
      <c r="D130" s="33" t="s">
        <v>51</v>
      </c>
      <c r="F130" s="34">
        <v>7.2</v>
      </c>
      <c r="K130" s="35"/>
    </row>
    <row r="131" spans="1:76" ht="14.4" x14ac:dyDescent="0.3">
      <c r="A131" s="2" t="s">
        <v>299</v>
      </c>
      <c r="B131" s="3" t="s">
        <v>300</v>
      </c>
      <c r="C131" s="87" t="s">
        <v>301</v>
      </c>
      <c r="D131" s="84"/>
      <c r="E131" s="3" t="s">
        <v>73</v>
      </c>
      <c r="F131" s="29">
        <v>18</v>
      </c>
      <c r="G131" s="29">
        <v>0</v>
      </c>
      <c r="H131" s="29">
        <f>F131*AO131</f>
        <v>0</v>
      </c>
      <c r="I131" s="29">
        <f>F131*AP131</f>
        <v>0</v>
      </c>
      <c r="J131" s="29">
        <f>F131*G131</f>
        <v>0</v>
      </c>
      <c r="K131" s="30" t="s">
        <v>60</v>
      </c>
      <c r="Z131" s="29">
        <f>IF(AQ131="5",BJ131,0)</f>
        <v>0</v>
      </c>
      <c r="AB131" s="29">
        <f>IF(AQ131="1",BH131,0)</f>
        <v>0</v>
      </c>
      <c r="AC131" s="29">
        <f>IF(AQ131="1",BI131,0)</f>
        <v>0</v>
      </c>
      <c r="AD131" s="29">
        <f>IF(AQ131="7",BH131,0)</f>
        <v>0</v>
      </c>
      <c r="AE131" s="29">
        <f>IF(AQ131="7",BI131,0)</f>
        <v>0</v>
      </c>
      <c r="AF131" s="29">
        <f>IF(AQ131="2",BH131,0)</f>
        <v>0</v>
      </c>
      <c r="AG131" s="29">
        <f>IF(AQ131="2",BI131,0)</f>
        <v>0</v>
      </c>
      <c r="AH131" s="29">
        <f>IF(AQ131="0",BJ131,0)</f>
        <v>0</v>
      </c>
      <c r="AI131" s="11" t="s">
        <v>55</v>
      </c>
      <c r="AJ131" s="29">
        <f>IF(AN131=0,J131,0)</f>
        <v>0</v>
      </c>
      <c r="AK131" s="29">
        <f>IF(AN131=12,J131,0)</f>
        <v>0</v>
      </c>
      <c r="AL131" s="29">
        <f>IF(AN131=21,J131,0)</f>
        <v>0</v>
      </c>
      <c r="AN131" s="29">
        <v>21</v>
      </c>
      <c r="AO131" s="29">
        <f>G131*0</f>
        <v>0</v>
      </c>
      <c r="AP131" s="29">
        <f>G131*(1-0)</f>
        <v>0</v>
      </c>
      <c r="AQ131" s="31" t="s">
        <v>117</v>
      </c>
      <c r="AV131" s="29">
        <f>AW131+AX131</f>
        <v>0</v>
      </c>
      <c r="AW131" s="29">
        <f>F131*AO131</f>
        <v>0</v>
      </c>
      <c r="AX131" s="29">
        <f>F131*AP131</f>
        <v>0</v>
      </c>
      <c r="AY131" s="31" t="s">
        <v>297</v>
      </c>
      <c r="AZ131" s="31" t="s">
        <v>285</v>
      </c>
      <c r="BA131" s="11" t="s">
        <v>63</v>
      </c>
      <c r="BC131" s="29">
        <f>AW131+AX131</f>
        <v>0</v>
      </c>
      <c r="BD131" s="29">
        <f>G131/(100-BE131)*100</f>
        <v>0</v>
      </c>
      <c r="BE131" s="29">
        <v>0</v>
      </c>
      <c r="BF131" s="29">
        <f>131</f>
        <v>131</v>
      </c>
      <c r="BH131" s="29">
        <f>F131*AO131</f>
        <v>0</v>
      </c>
      <c r="BI131" s="29">
        <f>F131*AP131</f>
        <v>0</v>
      </c>
      <c r="BJ131" s="29">
        <f>F131*G131</f>
        <v>0</v>
      </c>
      <c r="BK131" s="29"/>
      <c r="BL131" s="29">
        <v>764</v>
      </c>
      <c r="BW131" s="29">
        <v>21</v>
      </c>
      <c r="BX131" s="5" t="s">
        <v>301</v>
      </c>
    </row>
    <row r="132" spans="1:76" ht="14.4" x14ac:dyDescent="0.3">
      <c r="A132" s="32"/>
      <c r="C132" s="33" t="s">
        <v>302</v>
      </c>
      <c r="D132" s="33" t="s">
        <v>303</v>
      </c>
      <c r="F132" s="34">
        <v>18</v>
      </c>
      <c r="K132" s="35"/>
    </row>
    <row r="133" spans="1:76" ht="14.4" x14ac:dyDescent="0.3">
      <c r="A133" s="2" t="s">
        <v>304</v>
      </c>
      <c r="B133" s="3" t="s">
        <v>305</v>
      </c>
      <c r="C133" s="87" t="s">
        <v>306</v>
      </c>
      <c r="D133" s="84"/>
      <c r="E133" s="3" t="s">
        <v>73</v>
      </c>
      <c r="F133" s="29">
        <v>65.400000000000006</v>
      </c>
      <c r="G133" s="29">
        <v>0</v>
      </c>
      <c r="H133" s="29">
        <f>F133*AO133</f>
        <v>0</v>
      </c>
      <c r="I133" s="29">
        <f>F133*AP133</f>
        <v>0</v>
      </c>
      <c r="J133" s="29">
        <f>F133*G133</f>
        <v>0</v>
      </c>
      <c r="K133" s="30" t="s">
        <v>60</v>
      </c>
      <c r="Z133" s="29">
        <f>IF(AQ133="5",BJ133,0)</f>
        <v>0</v>
      </c>
      <c r="AB133" s="29">
        <f>IF(AQ133="1",BH133,0)</f>
        <v>0</v>
      </c>
      <c r="AC133" s="29">
        <f>IF(AQ133="1",BI133,0)</f>
        <v>0</v>
      </c>
      <c r="AD133" s="29">
        <f>IF(AQ133="7",BH133,0)</f>
        <v>0</v>
      </c>
      <c r="AE133" s="29">
        <f>IF(AQ133="7",BI133,0)</f>
        <v>0</v>
      </c>
      <c r="AF133" s="29">
        <f>IF(AQ133="2",BH133,0)</f>
        <v>0</v>
      </c>
      <c r="AG133" s="29">
        <f>IF(AQ133="2",BI133,0)</f>
        <v>0</v>
      </c>
      <c r="AH133" s="29">
        <f>IF(AQ133="0",BJ133,0)</f>
        <v>0</v>
      </c>
      <c r="AI133" s="11" t="s">
        <v>55</v>
      </c>
      <c r="AJ133" s="29">
        <f>IF(AN133=0,J133,0)</f>
        <v>0</v>
      </c>
      <c r="AK133" s="29">
        <f>IF(AN133=12,J133,0)</f>
        <v>0</v>
      </c>
      <c r="AL133" s="29">
        <f>IF(AN133=21,J133,0)</f>
        <v>0</v>
      </c>
      <c r="AN133" s="29">
        <v>21</v>
      </c>
      <c r="AO133" s="29">
        <f>G133*0</f>
        <v>0</v>
      </c>
      <c r="AP133" s="29">
        <f>G133*(1-0)</f>
        <v>0</v>
      </c>
      <c r="AQ133" s="31" t="s">
        <v>117</v>
      </c>
      <c r="AV133" s="29">
        <f>AW133+AX133</f>
        <v>0</v>
      </c>
      <c r="AW133" s="29">
        <f>F133*AO133</f>
        <v>0</v>
      </c>
      <c r="AX133" s="29">
        <f>F133*AP133</f>
        <v>0</v>
      </c>
      <c r="AY133" s="31" t="s">
        <v>297</v>
      </c>
      <c r="AZ133" s="31" t="s">
        <v>285</v>
      </c>
      <c r="BA133" s="11" t="s">
        <v>63</v>
      </c>
      <c r="BC133" s="29">
        <f>AW133+AX133</f>
        <v>0</v>
      </c>
      <c r="BD133" s="29">
        <f>G133/(100-BE133)*100</f>
        <v>0</v>
      </c>
      <c r="BE133" s="29">
        <v>0</v>
      </c>
      <c r="BF133" s="29">
        <f>133</f>
        <v>133</v>
      </c>
      <c r="BH133" s="29">
        <f>F133*AO133</f>
        <v>0</v>
      </c>
      <c r="BI133" s="29">
        <f>F133*AP133</f>
        <v>0</v>
      </c>
      <c r="BJ133" s="29">
        <f>F133*G133</f>
        <v>0</v>
      </c>
      <c r="BK133" s="29"/>
      <c r="BL133" s="29">
        <v>764</v>
      </c>
      <c r="BW133" s="29">
        <v>21</v>
      </c>
      <c r="BX133" s="5" t="s">
        <v>306</v>
      </c>
    </row>
    <row r="134" spans="1:76" ht="14.4" x14ac:dyDescent="0.3">
      <c r="A134" s="32"/>
      <c r="C134" s="33" t="s">
        <v>307</v>
      </c>
      <c r="D134" s="33" t="s">
        <v>308</v>
      </c>
      <c r="F134" s="34">
        <v>32.700000000000003</v>
      </c>
      <c r="K134" s="35"/>
    </row>
    <row r="135" spans="1:76" ht="14.4" x14ac:dyDescent="0.3">
      <c r="A135" s="32"/>
      <c r="C135" s="33" t="s">
        <v>307</v>
      </c>
      <c r="D135" s="33" t="s">
        <v>309</v>
      </c>
      <c r="F135" s="34">
        <v>32.700000000000003</v>
      </c>
      <c r="K135" s="35"/>
    </row>
    <row r="136" spans="1:76" ht="14.4" x14ac:dyDescent="0.3">
      <c r="A136" s="2" t="s">
        <v>310</v>
      </c>
      <c r="B136" s="3" t="s">
        <v>311</v>
      </c>
      <c r="C136" s="87" t="s">
        <v>312</v>
      </c>
      <c r="D136" s="84"/>
      <c r="E136" s="3" t="s">
        <v>73</v>
      </c>
      <c r="F136" s="29">
        <v>47</v>
      </c>
      <c r="G136" s="29">
        <v>0</v>
      </c>
      <c r="H136" s="29">
        <f>F136*AO136</f>
        <v>0</v>
      </c>
      <c r="I136" s="29">
        <f>F136*AP136</f>
        <v>0</v>
      </c>
      <c r="J136" s="29">
        <f>F136*G136</f>
        <v>0</v>
      </c>
      <c r="K136" s="30" t="s">
        <v>60</v>
      </c>
      <c r="Z136" s="29">
        <f>IF(AQ136="5",BJ136,0)</f>
        <v>0</v>
      </c>
      <c r="AB136" s="29">
        <f>IF(AQ136="1",BH136,0)</f>
        <v>0</v>
      </c>
      <c r="AC136" s="29">
        <f>IF(AQ136="1",BI136,0)</f>
        <v>0</v>
      </c>
      <c r="AD136" s="29">
        <f>IF(AQ136="7",BH136,0)</f>
        <v>0</v>
      </c>
      <c r="AE136" s="29">
        <f>IF(AQ136="7",BI136,0)</f>
        <v>0</v>
      </c>
      <c r="AF136" s="29">
        <f>IF(AQ136="2",BH136,0)</f>
        <v>0</v>
      </c>
      <c r="AG136" s="29">
        <f>IF(AQ136="2",BI136,0)</f>
        <v>0</v>
      </c>
      <c r="AH136" s="29">
        <f>IF(AQ136="0",BJ136,0)</f>
        <v>0</v>
      </c>
      <c r="AI136" s="11" t="s">
        <v>55</v>
      </c>
      <c r="AJ136" s="29">
        <f>IF(AN136=0,J136,0)</f>
        <v>0</v>
      </c>
      <c r="AK136" s="29">
        <f>IF(AN136=12,J136,0)</f>
        <v>0</v>
      </c>
      <c r="AL136" s="29">
        <f>IF(AN136=21,J136,0)</f>
        <v>0</v>
      </c>
      <c r="AN136" s="29">
        <v>21</v>
      </c>
      <c r="AO136" s="29">
        <f>G136*0</f>
        <v>0</v>
      </c>
      <c r="AP136" s="29">
        <f>G136*(1-0)</f>
        <v>0</v>
      </c>
      <c r="AQ136" s="31" t="s">
        <v>117</v>
      </c>
      <c r="AV136" s="29">
        <f>AW136+AX136</f>
        <v>0</v>
      </c>
      <c r="AW136" s="29">
        <f>F136*AO136</f>
        <v>0</v>
      </c>
      <c r="AX136" s="29">
        <f>F136*AP136</f>
        <v>0</v>
      </c>
      <c r="AY136" s="31" t="s">
        <v>297</v>
      </c>
      <c r="AZ136" s="31" t="s">
        <v>285</v>
      </c>
      <c r="BA136" s="11" t="s">
        <v>63</v>
      </c>
      <c r="BC136" s="29">
        <f>AW136+AX136</f>
        <v>0</v>
      </c>
      <c r="BD136" s="29">
        <f>G136/(100-BE136)*100</f>
        <v>0</v>
      </c>
      <c r="BE136" s="29">
        <v>0</v>
      </c>
      <c r="BF136" s="29">
        <f>136</f>
        <v>136</v>
      </c>
      <c r="BH136" s="29">
        <f>F136*AO136</f>
        <v>0</v>
      </c>
      <c r="BI136" s="29">
        <f>F136*AP136</f>
        <v>0</v>
      </c>
      <c r="BJ136" s="29">
        <f>F136*G136</f>
        <v>0</v>
      </c>
      <c r="BK136" s="29"/>
      <c r="BL136" s="29">
        <v>764</v>
      </c>
      <c r="BW136" s="29">
        <v>21</v>
      </c>
      <c r="BX136" s="5" t="s">
        <v>312</v>
      </c>
    </row>
    <row r="137" spans="1:76" ht="14.4" x14ac:dyDescent="0.3">
      <c r="A137" s="32"/>
      <c r="C137" s="33" t="s">
        <v>313</v>
      </c>
      <c r="D137" s="33" t="s">
        <v>314</v>
      </c>
      <c r="F137" s="34">
        <v>19</v>
      </c>
      <c r="K137" s="35"/>
    </row>
    <row r="138" spans="1:76" ht="14.4" x14ac:dyDescent="0.3">
      <c r="A138" s="32"/>
      <c r="C138" s="33" t="s">
        <v>315</v>
      </c>
      <c r="D138" s="33" t="s">
        <v>316</v>
      </c>
      <c r="F138" s="34">
        <v>28</v>
      </c>
      <c r="K138" s="35"/>
    </row>
    <row r="139" spans="1:76" ht="14.4" x14ac:dyDescent="0.3">
      <c r="A139" s="2" t="s">
        <v>317</v>
      </c>
      <c r="B139" s="3" t="s">
        <v>318</v>
      </c>
      <c r="C139" s="87" t="s">
        <v>319</v>
      </c>
      <c r="D139" s="84"/>
      <c r="E139" s="3" t="s">
        <v>59</v>
      </c>
      <c r="F139" s="29">
        <v>654</v>
      </c>
      <c r="G139" s="29">
        <v>0</v>
      </c>
      <c r="H139" s="29">
        <f>F139*AO139</f>
        <v>0</v>
      </c>
      <c r="I139" s="29">
        <f>F139*AP139</f>
        <v>0</v>
      </c>
      <c r="J139" s="29">
        <f>F139*G139</f>
        <v>0</v>
      </c>
      <c r="K139" s="30" t="s">
        <v>60</v>
      </c>
      <c r="Z139" s="29">
        <f>IF(AQ139="5",BJ139,0)</f>
        <v>0</v>
      </c>
      <c r="AB139" s="29">
        <f>IF(AQ139="1",BH139,0)</f>
        <v>0</v>
      </c>
      <c r="AC139" s="29">
        <f>IF(AQ139="1",BI139,0)</f>
        <v>0</v>
      </c>
      <c r="AD139" s="29">
        <f>IF(AQ139="7",BH139,0)</f>
        <v>0</v>
      </c>
      <c r="AE139" s="29">
        <f>IF(AQ139="7",BI139,0)</f>
        <v>0</v>
      </c>
      <c r="AF139" s="29">
        <f>IF(AQ139="2",BH139,0)</f>
        <v>0</v>
      </c>
      <c r="AG139" s="29">
        <f>IF(AQ139="2",BI139,0)</f>
        <v>0</v>
      </c>
      <c r="AH139" s="29">
        <f>IF(AQ139="0",BJ139,0)</f>
        <v>0</v>
      </c>
      <c r="AI139" s="11" t="s">
        <v>55</v>
      </c>
      <c r="AJ139" s="29">
        <f>IF(AN139=0,J139,0)</f>
        <v>0</v>
      </c>
      <c r="AK139" s="29">
        <f>IF(AN139=12,J139,0)</f>
        <v>0</v>
      </c>
      <c r="AL139" s="29">
        <f>IF(AN139=21,J139,0)</f>
        <v>0</v>
      </c>
      <c r="AN139" s="29">
        <v>21</v>
      </c>
      <c r="AO139" s="29">
        <f>G139*0</f>
        <v>0</v>
      </c>
      <c r="AP139" s="29">
        <f>G139*(1-0)</f>
        <v>0</v>
      </c>
      <c r="AQ139" s="31" t="s">
        <v>117</v>
      </c>
      <c r="AV139" s="29">
        <f>AW139+AX139</f>
        <v>0</v>
      </c>
      <c r="AW139" s="29">
        <f>F139*AO139</f>
        <v>0</v>
      </c>
      <c r="AX139" s="29">
        <f>F139*AP139</f>
        <v>0</v>
      </c>
      <c r="AY139" s="31" t="s">
        <v>297</v>
      </c>
      <c r="AZ139" s="31" t="s">
        <v>285</v>
      </c>
      <c r="BA139" s="11" t="s">
        <v>63</v>
      </c>
      <c r="BC139" s="29">
        <f>AW139+AX139</f>
        <v>0</v>
      </c>
      <c r="BD139" s="29">
        <f>G139/(100-BE139)*100</f>
        <v>0</v>
      </c>
      <c r="BE139" s="29">
        <v>0</v>
      </c>
      <c r="BF139" s="29">
        <f>139</f>
        <v>139</v>
      </c>
      <c r="BH139" s="29">
        <f>F139*AO139</f>
        <v>0</v>
      </c>
      <c r="BI139" s="29">
        <f>F139*AP139</f>
        <v>0</v>
      </c>
      <c r="BJ139" s="29">
        <f>F139*G139</f>
        <v>0</v>
      </c>
      <c r="BK139" s="29"/>
      <c r="BL139" s="29">
        <v>764</v>
      </c>
      <c r="BW139" s="29">
        <v>21</v>
      </c>
      <c r="BX139" s="5" t="s">
        <v>319</v>
      </c>
    </row>
    <row r="140" spans="1:76" ht="14.4" x14ac:dyDescent="0.3">
      <c r="A140" s="32"/>
      <c r="C140" s="33" t="s">
        <v>320</v>
      </c>
      <c r="D140" s="33" t="s">
        <v>51</v>
      </c>
      <c r="F140" s="34">
        <v>327</v>
      </c>
      <c r="K140" s="35"/>
    </row>
    <row r="141" spans="1:76" ht="14.4" x14ac:dyDescent="0.3">
      <c r="A141" s="32"/>
      <c r="C141" s="33" t="s">
        <v>320</v>
      </c>
      <c r="D141" s="33" t="s">
        <v>51</v>
      </c>
      <c r="F141" s="34">
        <v>327</v>
      </c>
      <c r="K141" s="35"/>
    </row>
    <row r="142" spans="1:76" ht="14.4" x14ac:dyDescent="0.3">
      <c r="A142" s="2" t="s">
        <v>321</v>
      </c>
      <c r="B142" s="3" t="s">
        <v>322</v>
      </c>
      <c r="C142" s="87" t="s">
        <v>323</v>
      </c>
      <c r="D142" s="84"/>
      <c r="E142" s="3" t="s">
        <v>269</v>
      </c>
      <c r="F142" s="29">
        <v>5.2784599999999999</v>
      </c>
      <c r="G142" s="29">
        <v>0</v>
      </c>
      <c r="H142" s="29">
        <f>F142*AO142</f>
        <v>0</v>
      </c>
      <c r="I142" s="29">
        <f>F142*AP142</f>
        <v>0</v>
      </c>
      <c r="J142" s="29">
        <f>F142*G142</f>
        <v>0</v>
      </c>
      <c r="K142" s="30" t="s">
        <v>60</v>
      </c>
      <c r="Z142" s="29">
        <f>IF(AQ142="5",BJ142,0)</f>
        <v>0</v>
      </c>
      <c r="AB142" s="29">
        <f>IF(AQ142="1",BH142,0)</f>
        <v>0</v>
      </c>
      <c r="AC142" s="29">
        <f>IF(AQ142="1",BI142,0)</f>
        <v>0</v>
      </c>
      <c r="AD142" s="29">
        <f>IF(AQ142="7",BH142,0)</f>
        <v>0</v>
      </c>
      <c r="AE142" s="29">
        <f>IF(AQ142="7",BI142,0)</f>
        <v>0</v>
      </c>
      <c r="AF142" s="29">
        <f>IF(AQ142="2",BH142,0)</f>
        <v>0</v>
      </c>
      <c r="AG142" s="29">
        <f>IF(AQ142="2",BI142,0)</f>
        <v>0</v>
      </c>
      <c r="AH142" s="29">
        <f>IF(AQ142="0",BJ142,0)</f>
        <v>0</v>
      </c>
      <c r="AI142" s="11" t="s">
        <v>55</v>
      </c>
      <c r="AJ142" s="29">
        <f>IF(AN142=0,J142,0)</f>
        <v>0</v>
      </c>
      <c r="AK142" s="29">
        <f>IF(AN142=12,J142,0)</f>
        <v>0</v>
      </c>
      <c r="AL142" s="29">
        <f>IF(AN142=21,J142,0)</f>
        <v>0</v>
      </c>
      <c r="AN142" s="29">
        <v>21</v>
      </c>
      <c r="AO142" s="29">
        <f>G142*0</f>
        <v>0</v>
      </c>
      <c r="AP142" s="29">
        <f>G142*(1-0)</f>
        <v>0</v>
      </c>
      <c r="AQ142" s="31" t="s">
        <v>100</v>
      </c>
      <c r="AV142" s="29">
        <f>AW142+AX142</f>
        <v>0</v>
      </c>
      <c r="AW142" s="29">
        <f>F142*AO142</f>
        <v>0</v>
      </c>
      <c r="AX142" s="29">
        <f>F142*AP142</f>
        <v>0</v>
      </c>
      <c r="AY142" s="31" t="s">
        <v>297</v>
      </c>
      <c r="AZ142" s="31" t="s">
        <v>285</v>
      </c>
      <c r="BA142" s="11" t="s">
        <v>63</v>
      </c>
      <c r="BC142" s="29">
        <f>AW142+AX142</f>
        <v>0</v>
      </c>
      <c r="BD142" s="29">
        <f>G142/(100-BE142)*100</f>
        <v>0</v>
      </c>
      <c r="BE142" s="29">
        <v>0</v>
      </c>
      <c r="BF142" s="29">
        <f>142</f>
        <v>142</v>
      </c>
      <c r="BH142" s="29">
        <f>F142*AO142</f>
        <v>0</v>
      </c>
      <c r="BI142" s="29">
        <f>F142*AP142</f>
        <v>0</v>
      </c>
      <c r="BJ142" s="29">
        <f>F142*G142</f>
        <v>0</v>
      </c>
      <c r="BK142" s="29"/>
      <c r="BL142" s="29">
        <v>764</v>
      </c>
      <c r="BW142" s="29">
        <v>21</v>
      </c>
      <c r="BX142" s="5" t="s">
        <v>323</v>
      </c>
    </row>
    <row r="143" spans="1:76" ht="14.4" x14ac:dyDescent="0.3">
      <c r="A143" s="25" t="s">
        <v>51</v>
      </c>
      <c r="B143" s="26" t="s">
        <v>324</v>
      </c>
      <c r="C143" s="143" t="s">
        <v>325</v>
      </c>
      <c r="D143" s="144"/>
      <c r="E143" s="27" t="s">
        <v>4</v>
      </c>
      <c r="F143" s="27" t="s">
        <v>4</v>
      </c>
      <c r="G143" s="27" t="s">
        <v>4</v>
      </c>
      <c r="H143" s="1">
        <f>SUM(H144:H146)</f>
        <v>0</v>
      </c>
      <c r="I143" s="1">
        <f>SUM(I144:I146)</f>
        <v>0</v>
      </c>
      <c r="J143" s="1">
        <f>SUM(J144:J146)</f>
        <v>0</v>
      </c>
      <c r="K143" s="28" t="s">
        <v>51</v>
      </c>
      <c r="AI143" s="11" t="s">
        <v>55</v>
      </c>
      <c r="AS143" s="1">
        <f>SUM(AJ144:AJ146)</f>
        <v>0</v>
      </c>
      <c r="AT143" s="1">
        <f>SUM(AK144:AK146)</f>
        <v>0</v>
      </c>
      <c r="AU143" s="1">
        <f>SUM(AL144:AL146)</f>
        <v>0</v>
      </c>
    </row>
    <row r="144" spans="1:76" ht="14.4" x14ac:dyDescent="0.3">
      <c r="A144" s="2" t="s">
        <v>326</v>
      </c>
      <c r="B144" s="3" t="s">
        <v>327</v>
      </c>
      <c r="C144" s="87" t="s">
        <v>328</v>
      </c>
      <c r="D144" s="84"/>
      <c r="E144" s="3" t="s">
        <v>59</v>
      </c>
      <c r="F144" s="29">
        <v>267.52</v>
      </c>
      <c r="G144" s="29">
        <v>0</v>
      </c>
      <c r="H144" s="29">
        <f>F144*AO144</f>
        <v>0</v>
      </c>
      <c r="I144" s="29">
        <f>F144*AP144</f>
        <v>0</v>
      </c>
      <c r="J144" s="29">
        <f>F144*G144</f>
        <v>0</v>
      </c>
      <c r="K144" s="30" t="s">
        <v>60</v>
      </c>
      <c r="Z144" s="29">
        <f>IF(AQ144="5",BJ144,0)</f>
        <v>0</v>
      </c>
      <c r="AB144" s="29">
        <f>IF(AQ144="1",BH144,0)</f>
        <v>0</v>
      </c>
      <c r="AC144" s="29">
        <f>IF(AQ144="1",BI144,0)</f>
        <v>0</v>
      </c>
      <c r="AD144" s="29">
        <f>IF(AQ144="7",BH144,0)</f>
        <v>0</v>
      </c>
      <c r="AE144" s="29">
        <f>IF(AQ144="7",BI144,0)</f>
        <v>0</v>
      </c>
      <c r="AF144" s="29">
        <f>IF(AQ144="2",BH144,0)</f>
        <v>0</v>
      </c>
      <c r="AG144" s="29">
        <f>IF(AQ144="2",BI144,0)</f>
        <v>0</v>
      </c>
      <c r="AH144" s="29">
        <f>IF(AQ144="0",BJ144,0)</f>
        <v>0</v>
      </c>
      <c r="AI144" s="11" t="s">
        <v>55</v>
      </c>
      <c r="AJ144" s="29">
        <f>IF(AN144=0,J144,0)</f>
        <v>0</v>
      </c>
      <c r="AK144" s="29">
        <f>IF(AN144=12,J144,0)</f>
        <v>0</v>
      </c>
      <c r="AL144" s="29">
        <f>IF(AN144=21,J144,0)</f>
        <v>0</v>
      </c>
      <c r="AN144" s="29">
        <v>21</v>
      </c>
      <c r="AO144" s="29">
        <f>G144*0.043363284</f>
        <v>0</v>
      </c>
      <c r="AP144" s="29">
        <f>G144*(1-0.043363284)</f>
        <v>0</v>
      </c>
      <c r="AQ144" s="31" t="s">
        <v>117</v>
      </c>
      <c r="AV144" s="29">
        <f>AW144+AX144</f>
        <v>0</v>
      </c>
      <c r="AW144" s="29">
        <f>F144*AO144</f>
        <v>0</v>
      </c>
      <c r="AX144" s="29">
        <f>F144*AP144</f>
        <v>0</v>
      </c>
      <c r="AY144" s="31" t="s">
        <v>329</v>
      </c>
      <c r="AZ144" s="31" t="s">
        <v>330</v>
      </c>
      <c r="BA144" s="11" t="s">
        <v>63</v>
      </c>
      <c r="BC144" s="29">
        <f>AW144+AX144</f>
        <v>0</v>
      </c>
      <c r="BD144" s="29">
        <f>G144/(100-BE144)*100</f>
        <v>0</v>
      </c>
      <c r="BE144" s="29">
        <v>0</v>
      </c>
      <c r="BF144" s="29">
        <f>144</f>
        <v>144</v>
      </c>
      <c r="BH144" s="29">
        <f>F144*AO144</f>
        <v>0</v>
      </c>
      <c r="BI144" s="29">
        <f>F144*AP144</f>
        <v>0</v>
      </c>
      <c r="BJ144" s="29">
        <f>F144*G144</f>
        <v>0</v>
      </c>
      <c r="BK144" s="29"/>
      <c r="BL144" s="29">
        <v>783</v>
      </c>
      <c r="BW144" s="29">
        <v>21</v>
      </c>
      <c r="BX144" s="5" t="s">
        <v>328</v>
      </c>
    </row>
    <row r="145" spans="1:76" ht="14.4" x14ac:dyDescent="0.3">
      <c r="A145" s="32"/>
      <c r="C145" s="33" t="s">
        <v>331</v>
      </c>
      <c r="D145" s="33" t="s">
        <v>332</v>
      </c>
      <c r="F145" s="34">
        <v>267.52</v>
      </c>
      <c r="K145" s="35"/>
    </row>
    <row r="146" spans="1:76" ht="14.4" x14ac:dyDescent="0.3">
      <c r="A146" s="2" t="s">
        <v>333</v>
      </c>
      <c r="B146" s="3" t="s">
        <v>334</v>
      </c>
      <c r="C146" s="87" t="s">
        <v>335</v>
      </c>
      <c r="D146" s="84"/>
      <c r="E146" s="3" t="s">
        <v>59</v>
      </c>
      <c r="F146" s="29">
        <v>43.52</v>
      </c>
      <c r="G146" s="29">
        <v>0</v>
      </c>
      <c r="H146" s="29">
        <f>F146*AO146</f>
        <v>0</v>
      </c>
      <c r="I146" s="29">
        <f>F146*AP146</f>
        <v>0</v>
      </c>
      <c r="J146" s="29">
        <f>F146*G146</f>
        <v>0</v>
      </c>
      <c r="K146" s="30" t="s">
        <v>60</v>
      </c>
      <c r="Z146" s="29">
        <f>IF(AQ146="5",BJ146,0)</f>
        <v>0</v>
      </c>
      <c r="AB146" s="29">
        <f>IF(AQ146="1",BH146,0)</f>
        <v>0</v>
      </c>
      <c r="AC146" s="29">
        <f>IF(AQ146="1",BI146,0)</f>
        <v>0</v>
      </c>
      <c r="AD146" s="29">
        <f>IF(AQ146="7",BH146,0)</f>
        <v>0</v>
      </c>
      <c r="AE146" s="29">
        <f>IF(AQ146="7",BI146,0)</f>
        <v>0</v>
      </c>
      <c r="AF146" s="29">
        <f>IF(AQ146="2",BH146,0)</f>
        <v>0</v>
      </c>
      <c r="AG146" s="29">
        <f>IF(AQ146="2",BI146,0)</f>
        <v>0</v>
      </c>
      <c r="AH146" s="29">
        <f>IF(AQ146="0",BJ146,0)</f>
        <v>0</v>
      </c>
      <c r="AI146" s="11" t="s">
        <v>55</v>
      </c>
      <c r="AJ146" s="29">
        <f>IF(AN146=0,J146,0)</f>
        <v>0</v>
      </c>
      <c r="AK146" s="29">
        <f>IF(AN146=12,J146,0)</f>
        <v>0</v>
      </c>
      <c r="AL146" s="29">
        <f>IF(AN146=21,J146,0)</f>
        <v>0</v>
      </c>
      <c r="AN146" s="29">
        <v>21</v>
      </c>
      <c r="AO146" s="29">
        <f>G146*0.100498017</f>
        <v>0</v>
      </c>
      <c r="AP146" s="29">
        <f>G146*(1-0.100498017)</f>
        <v>0</v>
      </c>
      <c r="AQ146" s="31" t="s">
        <v>117</v>
      </c>
      <c r="AV146" s="29">
        <f>AW146+AX146</f>
        <v>0</v>
      </c>
      <c r="AW146" s="29">
        <f>F146*AO146</f>
        <v>0</v>
      </c>
      <c r="AX146" s="29">
        <f>F146*AP146</f>
        <v>0</v>
      </c>
      <c r="AY146" s="31" t="s">
        <v>329</v>
      </c>
      <c r="AZ146" s="31" t="s">
        <v>330</v>
      </c>
      <c r="BA146" s="11" t="s">
        <v>63</v>
      </c>
      <c r="BC146" s="29">
        <f>AW146+AX146</f>
        <v>0</v>
      </c>
      <c r="BD146" s="29">
        <f>G146/(100-BE146)*100</f>
        <v>0</v>
      </c>
      <c r="BE146" s="29">
        <v>0</v>
      </c>
      <c r="BF146" s="29">
        <f>146</f>
        <v>146</v>
      </c>
      <c r="BH146" s="29">
        <f>F146*AO146</f>
        <v>0</v>
      </c>
      <c r="BI146" s="29">
        <f>F146*AP146</f>
        <v>0</v>
      </c>
      <c r="BJ146" s="29">
        <f>F146*G146</f>
        <v>0</v>
      </c>
      <c r="BK146" s="29"/>
      <c r="BL146" s="29">
        <v>783</v>
      </c>
      <c r="BW146" s="29">
        <v>21</v>
      </c>
      <c r="BX146" s="5" t="s">
        <v>335</v>
      </c>
    </row>
    <row r="147" spans="1:76" ht="14.4" x14ac:dyDescent="0.3">
      <c r="A147" s="32"/>
      <c r="C147" s="33" t="s">
        <v>336</v>
      </c>
      <c r="D147" s="33" t="s">
        <v>337</v>
      </c>
      <c r="F147" s="34">
        <v>28.8</v>
      </c>
      <c r="K147" s="35"/>
    </row>
    <row r="148" spans="1:76" ht="14.4" x14ac:dyDescent="0.3">
      <c r="A148" s="32"/>
      <c r="C148" s="33" t="s">
        <v>338</v>
      </c>
      <c r="D148" s="33" t="s">
        <v>339</v>
      </c>
      <c r="F148" s="34">
        <v>14.72</v>
      </c>
      <c r="K148" s="35"/>
    </row>
    <row r="149" spans="1:76" ht="14.4" x14ac:dyDescent="0.3">
      <c r="A149" s="25" t="s">
        <v>51</v>
      </c>
      <c r="B149" s="26" t="s">
        <v>340</v>
      </c>
      <c r="C149" s="143" t="s">
        <v>341</v>
      </c>
      <c r="D149" s="144"/>
      <c r="E149" s="27" t="s">
        <v>4</v>
      </c>
      <c r="F149" s="27" t="s">
        <v>4</v>
      </c>
      <c r="G149" s="27" t="s">
        <v>4</v>
      </c>
      <c r="H149" s="1">
        <f>SUM(H150:H157)</f>
        <v>0</v>
      </c>
      <c r="I149" s="1">
        <f>SUM(I150:I157)</f>
        <v>0</v>
      </c>
      <c r="J149" s="1">
        <f>SUM(J150:J157)</f>
        <v>0</v>
      </c>
      <c r="K149" s="28" t="s">
        <v>51</v>
      </c>
      <c r="AI149" s="11" t="s">
        <v>55</v>
      </c>
      <c r="AS149" s="1">
        <f>SUM(AJ150:AJ157)</f>
        <v>0</v>
      </c>
      <c r="AT149" s="1">
        <f>SUM(AK150:AK157)</f>
        <v>0</v>
      </c>
      <c r="AU149" s="1">
        <f>SUM(AL150:AL157)</f>
        <v>0</v>
      </c>
    </row>
    <row r="150" spans="1:76" ht="14.4" x14ac:dyDescent="0.3">
      <c r="A150" s="2" t="s">
        <v>342</v>
      </c>
      <c r="B150" s="3" t="s">
        <v>343</v>
      </c>
      <c r="C150" s="87" t="s">
        <v>344</v>
      </c>
      <c r="D150" s="84"/>
      <c r="E150" s="3" t="s">
        <v>345</v>
      </c>
      <c r="F150" s="29">
        <v>1</v>
      </c>
      <c r="G150" s="29">
        <v>0</v>
      </c>
      <c r="H150" s="29">
        <f>F150*AO150</f>
        <v>0</v>
      </c>
      <c r="I150" s="29">
        <f>F150*AP150</f>
        <v>0</v>
      </c>
      <c r="J150" s="29">
        <f>F150*G150</f>
        <v>0</v>
      </c>
      <c r="K150" s="30" t="s">
        <v>60</v>
      </c>
      <c r="Z150" s="29">
        <f>IF(AQ150="5",BJ150,0)</f>
        <v>0</v>
      </c>
      <c r="AB150" s="29">
        <f>IF(AQ150="1",BH150,0)</f>
        <v>0</v>
      </c>
      <c r="AC150" s="29">
        <f>IF(AQ150="1",BI150,0)</f>
        <v>0</v>
      </c>
      <c r="AD150" s="29">
        <f>IF(AQ150="7",BH150,0)</f>
        <v>0</v>
      </c>
      <c r="AE150" s="29">
        <f>IF(AQ150="7",BI150,0)</f>
        <v>0</v>
      </c>
      <c r="AF150" s="29">
        <f>IF(AQ150="2",BH150,0)</f>
        <v>0</v>
      </c>
      <c r="AG150" s="29">
        <f>IF(AQ150="2",BI150,0)</f>
        <v>0</v>
      </c>
      <c r="AH150" s="29">
        <f>IF(AQ150="0",BJ150,0)</f>
        <v>0</v>
      </c>
      <c r="AI150" s="11" t="s">
        <v>55</v>
      </c>
      <c r="AJ150" s="29">
        <f>IF(AN150=0,J150,0)</f>
        <v>0</v>
      </c>
      <c r="AK150" s="29">
        <f>IF(AN150=12,J150,0)</f>
        <v>0</v>
      </c>
      <c r="AL150" s="29">
        <f>IF(AN150=21,J150,0)</f>
        <v>0</v>
      </c>
      <c r="AN150" s="29">
        <v>21</v>
      </c>
      <c r="AO150" s="29">
        <f>G150*0.963985502</f>
        <v>0</v>
      </c>
      <c r="AP150" s="29">
        <f>G150*(1-0.963985502)</f>
        <v>0</v>
      </c>
      <c r="AQ150" s="31" t="s">
        <v>70</v>
      </c>
      <c r="AV150" s="29">
        <f>AW150+AX150</f>
        <v>0</v>
      </c>
      <c r="AW150" s="29">
        <f>F150*AO150</f>
        <v>0</v>
      </c>
      <c r="AX150" s="29">
        <f>F150*AP150</f>
        <v>0</v>
      </c>
      <c r="AY150" s="31" t="s">
        <v>346</v>
      </c>
      <c r="AZ150" s="31" t="s">
        <v>62</v>
      </c>
      <c r="BA150" s="11" t="s">
        <v>63</v>
      </c>
      <c r="BC150" s="29">
        <f>AW150+AX150</f>
        <v>0</v>
      </c>
      <c r="BD150" s="29">
        <f>G150/(100-BE150)*100</f>
        <v>0</v>
      </c>
      <c r="BE150" s="29">
        <v>0</v>
      </c>
      <c r="BF150" s="29">
        <f>150</f>
        <v>150</v>
      </c>
      <c r="BH150" s="29">
        <f>F150*AO150</f>
        <v>0</v>
      </c>
      <c r="BI150" s="29">
        <f>F150*AP150</f>
        <v>0</v>
      </c>
      <c r="BJ150" s="29">
        <f>F150*G150</f>
        <v>0</v>
      </c>
      <c r="BK150" s="29"/>
      <c r="BL150" s="29"/>
      <c r="BW150" s="29">
        <v>21</v>
      </c>
      <c r="BX150" s="5" t="s">
        <v>344</v>
      </c>
    </row>
    <row r="151" spans="1:76" ht="14.4" x14ac:dyDescent="0.3">
      <c r="A151" s="2" t="s">
        <v>347</v>
      </c>
      <c r="B151" s="3" t="s">
        <v>348</v>
      </c>
      <c r="C151" s="87" t="s">
        <v>349</v>
      </c>
      <c r="D151" s="84"/>
      <c r="E151" s="3" t="s">
        <v>350</v>
      </c>
      <c r="F151" s="29">
        <v>4</v>
      </c>
      <c r="G151" s="29">
        <v>0</v>
      </c>
      <c r="H151" s="29">
        <f>F151*AO151</f>
        <v>0</v>
      </c>
      <c r="I151" s="29">
        <f>F151*AP151</f>
        <v>0</v>
      </c>
      <c r="J151" s="29">
        <f>F151*G151</f>
        <v>0</v>
      </c>
      <c r="K151" s="30" t="s">
        <v>351</v>
      </c>
      <c r="Z151" s="29">
        <f>IF(AQ151="5",BJ151,0)</f>
        <v>0</v>
      </c>
      <c r="AB151" s="29">
        <f>IF(AQ151="1",BH151,0)</f>
        <v>0</v>
      </c>
      <c r="AC151" s="29">
        <f>IF(AQ151="1",BI151,0)</f>
        <v>0</v>
      </c>
      <c r="AD151" s="29">
        <f>IF(AQ151="7",BH151,0)</f>
        <v>0</v>
      </c>
      <c r="AE151" s="29">
        <f>IF(AQ151="7",BI151,0)</f>
        <v>0</v>
      </c>
      <c r="AF151" s="29">
        <f>IF(AQ151="2",BH151,0)</f>
        <v>0</v>
      </c>
      <c r="AG151" s="29">
        <f>IF(AQ151="2",BI151,0)</f>
        <v>0</v>
      </c>
      <c r="AH151" s="29">
        <f>IF(AQ151="0",BJ151,0)</f>
        <v>0</v>
      </c>
      <c r="AI151" s="11" t="s">
        <v>55</v>
      </c>
      <c r="AJ151" s="29">
        <f>IF(AN151=0,J151,0)</f>
        <v>0</v>
      </c>
      <c r="AK151" s="29">
        <f>IF(AN151=12,J151,0)</f>
        <v>0</v>
      </c>
      <c r="AL151" s="29">
        <f>IF(AN151=21,J151,0)</f>
        <v>0</v>
      </c>
      <c r="AN151" s="29">
        <v>21</v>
      </c>
      <c r="AO151" s="29">
        <f>G151*0.342465753</f>
        <v>0</v>
      </c>
      <c r="AP151" s="29">
        <f>G151*(1-0.342465753)</f>
        <v>0</v>
      </c>
      <c r="AQ151" s="31" t="s">
        <v>70</v>
      </c>
      <c r="AV151" s="29">
        <f>AW151+AX151</f>
        <v>0</v>
      </c>
      <c r="AW151" s="29">
        <f>F151*AO151</f>
        <v>0</v>
      </c>
      <c r="AX151" s="29">
        <f>F151*AP151</f>
        <v>0</v>
      </c>
      <c r="AY151" s="31" t="s">
        <v>346</v>
      </c>
      <c r="AZ151" s="31" t="s">
        <v>62</v>
      </c>
      <c r="BA151" s="11" t="s">
        <v>63</v>
      </c>
      <c r="BC151" s="29">
        <f>AW151+AX151</f>
        <v>0</v>
      </c>
      <c r="BD151" s="29">
        <f>G151/(100-BE151)*100</f>
        <v>0</v>
      </c>
      <c r="BE151" s="29">
        <v>0</v>
      </c>
      <c r="BF151" s="29">
        <f>151</f>
        <v>151</v>
      </c>
      <c r="BH151" s="29">
        <f>F151*AO151</f>
        <v>0</v>
      </c>
      <c r="BI151" s="29">
        <f>F151*AP151</f>
        <v>0</v>
      </c>
      <c r="BJ151" s="29">
        <f>F151*G151</f>
        <v>0</v>
      </c>
      <c r="BK151" s="29"/>
      <c r="BL151" s="29"/>
      <c r="BW151" s="29">
        <v>21</v>
      </c>
      <c r="BX151" s="5" t="s">
        <v>349</v>
      </c>
    </row>
    <row r="152" spans="1:76" ht="14.4" x14ac:dyDescent="0.3">
      <c r="A152" s="32"/>
      <c r="C152" s="33" t="s">
        <v>70</v>
      </c>
      <c r="D152" s="33" t="s">
        <v>308</v>
      </c>
      <c r="F152" s="34">
        <v>2</v>
      </c>
      <c r="K152" s="35"/>
    </row>
    <row r="153" spans="1:76" ht="14.4" x14ac:dyDescent="0.3">
      <c r="A153" s="32"/>
      <c r="C153" s="33" t="s">
        <v>70</v>
      </c>
      <c r="D153" s="33" t="s">
        <v>309</v>
      </c>
      <c r="F153" s="34">
        <v>2</v>
      </c>
      <c r="K153" s="35"/>
    </row>
    <row r="154" spans="1:76" ht="14.4" x14ac:dyDescent="0.3">
      <c r="A154" s="2" t="s">
        <v>352</v>
      </c>
      <c r="B154" s="3" t="s">
        <v>353</v>
      </c>
      <c r="C154" s="87" t="s">
        <v>354</v>
      </c>
      <c r="D154" s="84"/>
      <c r="E154" s="3" t="s">
        <v>345</v>
      </c>
      <c r="F154" s="29">
        <v>1</v>
      </c>
      <c r="G154" s="29">
        <v>0</v>
      </c>
      <c r="H154" s="29">
        <f>F154*AO154</f>
        <v>0</v>
      </c>
      <c r="I154" s="29">
        <f>F154*AP154</f>
        <v>0</v>
      </c>
      <c r="J154" s="29">
        <f>F154*G154</f>
        <v>0</v>
      </c>
      <c r="K154" s="30" t="s">
        <v>351</v>
      </c>
      <c r="Z154" s="29">
        <f>IF(AQ154="5",BJ154,0)</f>
        <v>0</v>
      </c>
      <c r="AB154" s="29">
        <f>IF(AQ154="1",BH154,0)</f>
        <v>0</v>
      </c>
      <c r="AC154" s="29">
        <f>IF(AQ154="1",BI154,0)</f>
        <v>0</v>
      </c>
      <c r="AD154" s="29">
        <f>IF(AQ154="7",BH154,0)</f>
        <v>0</v>
      </c>
      <c r="AE154" s="29">
        <f>IF(AQ154="7",BI154,0)</f>
        <v>0</v>
      </c>
      <c r="AF154" s="29">
        <f>IF(AQ154="2",BH154,0)</f>
        <v>0</v>
      </c>
      <c r="AG154" s="29">
        <f>IF(AQ154="2",BI154,0)</f>
        <v>0</v>
      </c>
      <c r="AH154" s="29">
        <f>IF(AQ154="0",BJ154,0)</f>
        <v>0</v>
      </c>
      <c r="AI154" s="11" t="s">
        <v>55</v>
      </c>
      <c r="AJ154" s="29">
        <f>IF(AN154=0,J154,0)</f>
        <v>0</v>
      </c>
      <c r="AK154" s="29">
        <f>IF(AN154=12,J154,0)</f>
        <v>0</v>
      </c>
      <c r="AL154" s="29">
        <f>IF(AN154=21,J154,0)</f>
        <v>0</v>
      </c>
      <c r="AN154" s="29">
        <v>21</v>
      </c>
      <c r="AO154" s="29">
        <f>G154*0</f>
        <v>0</v>
      </c>
      <c r="AP154" s="29">
        <f>G154*(1-0)</f>
        <v>0</v>
      </c>
      <c r="AQ154" s="31" t="s">
        <v>70</v>
      </c>
      <c r="AV154" s="29">
        <f>AW154+AX154</f>
        <v>0</v>
      </c>
      <c r="AW154" s="29">
        <f>F154*AO154</f>
        <v>0</v>
      </c>
      <c r="AX154" s="29">
        <f>F154*AP154</f>
        <v>0</v>
      </c>
      <c r="AY154" s="31" t="s">
        <v>346</v>
      </c>
      <c r="AZ154" s="31" t="s">
        <v>62</v>
      </c>
      <c r="BA154" s="11" t="s">
        <v>63</v>
      </c>
      <c r="BC154" s="29">
        <f>AW154+AX154</f>
        <v>0</v>
      </c>
      <c r="BD154" s="29">
        <f>G154/(100-BE154)*100</f>
        <v>0</v>
      </c>
      <c r="BE154" s="29">
        <v>0</v>
      </c>
      <c r="BF154" s="29">
        <f>154</f>
        <v>154</v>
      </c>
      <c r="BH154" s="29">
        <f>F154*AO154</f>
        <v>0</v>
      </c>
      <c r="BI154" s="29">
        <f>F154*AP154</f>
        <v>0</v>
      </c>
      <c r="BJ154" s="29">
        <f>F154*G154</f>
        <v>0</v>
      </c>
      <c r="BK154" s="29"/>
      <c r="BL154" s="29"/>
      <c r="BW154" s="29">
        <v>21</v>
      </c>
      <c r="BX154" s="5" t="s">
        <v>354</v>
      </c>
    </row>
    <row r="155" spans="1:76" ht="14.4" x14ac:dyDescent="0.3">
      <c r="A155" s="2" t="s">
        <v>355</v>
      </c>
      <c r="B155" s="3" t="s">
        <v>353</v>
      </c>
      <c r="C155" s="87" t="s">
        <v>356</v>
      </c>
      <c r="D155" s="84"/>
      <c r="E155" s="3" t="s">
        <v>73</v>
      </c>
      <c r="F155" s="29">
        <v>33</v>
      </c>
      <c r="G155" s="29">
        <v>0</v>
      </c>
      <c r="H155" s="29">
        <f>F155*AO155</f>
        <v>0</v>
      </c>
      <c r="I155" s="29">
        <f>F155*AP155</f>
        <v>0</v>
      </c>
      <c r="J155" s="29">
        <f>F155*G155</f>
        <v>0</v>
      </c>
      <c r="K155" s="30" t="s">
        <v>351</v>
      </c>
      <c r="Z155" s="29">
        <f>IF(AQ155="5",BJ155,0)</f>
        <v>0</v>
      </c>
      <c r="AB155" s="29">
        <f>IF(AQ155="1",BH155,0)</f>
        <v>0</v>
      </c>
      <c r="AC155" s="29">
        <f>IF(AQ155="1",BI155,0)</f>
        <v>0</v>
      </c>
      <c r="AD155" s="29">
        <f>IF(AQ155="7",BH155,0)</f>
        <v>0</v>
      </c>
      <c r="AE155" s="29">
        <f>IF(AQ155="7",BI155,0)</f>
        <v>0</v>
      </c>
      <c r="AF155" s="29">
        <f>IF(AQ155="2",BH155,0)</f>
        <v>0</v>
      </c>
      <c r="AG155" s="29">
        <f>IF(AQ155="2",BI155,0)</f>
        <v>0</v>
      </c>
      <c r="AH155" s="29">
        <f>IF(AQ155="0",BJ155,0)</f>
        <v>0</v>
      </c>
      <c r="AI155" s="11" t="s">
        <v>55</v>
      </c>
      <c r="AJ155" s="29">
        <f>IF(AN155=0,J155,0)</f>
        <v>0</v>
      </c>
      <c r="AK155" s="29">
        <f>IF(AN155=12,J155,0)</f>
        <v>0</v>
      </c>
      <c r="AL155" s="29">
        <f>IF(AN155=21,J155,0)</f>
        <v>0</v>
      </c>
      <c r="AN155" s="29">
        <v>21</v>
      </c>
      <c r="AO155" s="29">
        <f>G155*0</f>
        <v>0</v>
      </c>
      <c r="AP155" s="29">
        <f>G155*(1-0)</f>
        <v>0</v>
      </c>
      <c r="AQ155" s="31" t="s">
        <v>70</v>
      </c>
      <c r="AV155" s="29">
        <f>AW155+AX155</f>
        <v>0</v>
      </c>
      <c r="AW155" s="29">
        <f>F155*AO155</f>
        <v>0</v>
      </c>
      <c r="AX155" s="29">
        <f>F155*AP155</f>
        <v>0</v>
      </c>
      <c r="AY155" s="31" t="s">
        <v>346</v>
      </c>
      <c r="AZ155" s="31" t="s">
        <v>62</v>
      </c>
      <c r="BA155" s="11" t="s">
        <v>63</v>
      </c>
      <c r="BC155" s="29">
        <f>AW155+AX155</f>
        <v>0</v>
      </c>
      <c r="BD155" s="29">
        <f>G155/(100-BE155)*100</f>
        <v>0</v>
      </c>
      <c r="BE155" s="29">
        <v>0</v>
      </c>
      <c r="BF155" s="29">
        <f>155</f>
        <v>155</v>
      </c>
      <c r="BH155" s="29">
        <f>F155*AO155</f>
        <v>0</v>
      </c>
      <c r="BI155" s="29">
        <f>F155*AP155</f>
        <v>0</v>
      </c>
      <c r="BJ155" s="29">
        <f>F155*G155</f>
        <v>0</v>
      </c>
      <c r="BK155" s="29"/>
      <c r="BL155" s="29"/>
      <c r="BW155" s="29">
        <v>21</v>
      </c>
      <c r="BX155" s="5" t="s">
        <v>356</v>
      </c>
    </row>
    <row r="156" spans="1:76" ht="14.4" x14ac:dyDescent="0.3">
      <c r="A156" s="2" t="s">
        <v>357</v>
      </c>
      <c r="B156" s="3" t="s">
        <v>358</v>
      </c>
      <c r="C156" s="87" t="s">
        <v>359</v>
      </c>
      <c r="D156" s="84"/>
      <c r="E156" s="3" t="s">
        <v>350</v>
      </c>
      <c r="F156" s="29">
        <v>2</v>
      </c>
      <c r="G156" s="29">
        <v>0</v>
      </c>
      <c r="H156" s="29">
        <f>F156*AO156</f>
        <v>0</v>
      </c>
      <c r="I156" s="29">
        <f>F156*AP156</f>
        <v>0</v>
      </c>
      <c r="J156" s="29">
        <f>F156*G156</f>
        <v>0</v>
      </c>
      <c r="K156" s="30" t="s">
        <v>351</v>
      </c>
      <c r="Z156" s="29">
        <f>IF(AQ156="5",BJ156,0)</f>
        <v>0</v>
      </c>
      <c r="AB156" s="29">
        <f>IF(AQ156="1",BH156,0)</f>
        <v>0</v>
      </c>
      <c r="AC156" s="29">
        <f>IF(AQ156="1",BI156,0)</f>
        <v>0</v>
      </c>
      <c r="AD156" s="29">
        <f>IF(AQ156="7",BH156,0)</f>
        <v>0</v>
      </c>
      <c r="AE156" s="29">
        <f>IF(AQ156="7",BI156,0)</f>
        <v>0</v>
      </c>
      <c r="AF156" s="29">
        <f>IF(AQ156="2",BH156,0)</f>
        <v>0</v>
      </c>
      <c r="AG156" s="29">
        <f>IF(AQ156="2",BI156,0)</f>
        <v>0</v>
      </c>
      <c r="AH156" s="29">
        <f>IF(AQ156="0",BJ156,0)</f>
        <v>0</v>
      </c>
      <c r="AI156" s="11" t="s">
        <v>55</v>
      </c>
      <c r="AJ156" s="29">
        <f>IF(AN156=0,J156,0)</f>
        <v>0</v>
      </c>
      <c r="AK156" s="29">
        <f>IF(AN156=12,J156,0)</f>
        <v>0</v>
      </c>
      <c r="AL156" s="29">
        <f>IF(AN156=21,J156,0)</f>
        <v>0</v>
      </c>
      <c r="AN156" s="29">
        <v>21</v>
      </c>
      <c r="AO156" s="29">
        <f>G156*0</f>
        <v>0</v>
      </c>
      <c r="AP156" s="29">
        <f>G156*(1-0)</f>
        <v>0</v>
      </c>
      <c r="AQ156" s="31" t="s">
        <v>70</v>
      </c>
      <c r="AV156" s="29">
        <f>AW156+AX156</f>
        <v>0</v>
      </c>
      <c r="AW156" s="29">
        <f>F156*AO156</f>
        <v>0</v>
      </c>
      <c r="AX156" s="29">
        <f>F156*AP156</f>
        <v>0</v>
      </c>
      <c r="AY156" s="31" t="s">
        <v>346</v>
      </c>
      <c r="AZ156" s="31" t="s">
        <v>62</v>
      </c>
      <c r="BA156" s="11" t="s">
        <v>63</v>
      </c>
      <c r="BC156" s="29">
        <f>AW156+AX156</f>
        <v>0</v>
      </c>
      <c r="BD156" s="29">
        <f>G156/(100-BE156)*100</f>
        <v>0</v>
      </c>
      <c r="BE156" s="29">
        <v>0</v>
      </c>
      <c r="BF156" s="29">
        <f>156</f>
        <v>156</v>
      </c>
      <c r="BH156" s="29">
        <f>F156*AO156</f>
        <v>0</v>
      </c>
      <c r="BI156" s="29">
        <f>F156*AP156</f>
        <v>0</v>
      </c>
      <c r="BJ156" s="29">
        <f>F156*G156</f>
        <v>0</v>
      </c>
      <c r="BK156" s="29"/>
      <c r="BL156" s="29"/>
      <c r="BW156" s="29">
        <v>21</v>
      </c>
      <c r="BX156" s="5" t="s">
        <v>359</v>
      </c>
    </row>
    <row r="157" spans="1:76" ht="14.4" x14ac:dyDescent="0.3">
      <c r="A157" s="2" t="s">
        <v>360</v>
      </c>
      <c r="B157" s="3" t="s">
        <v>343</v>
      </c>
      <c r="C157" s="87" t="s">
        <v>361</v>
      </c>
      <c r="D157" s="84"/>
      <c r="E157" s="3" t="s">
        <v>249</v>
      </c>
      <c r="F157" s="29">
        <v>1</v>
      </c>
      <c r="G157" s="29">
        <v>0</v>
      </c>
      <c r="H157" s="29">
        <f>F157*AO157</f>
        <v>0</v>
      </c>
      <c r="I157" s="29">
        <f>F157*AP157</f>
        <v>0</v>
      </c>
      <c r="J157" s="29">
        <f>F157*G157</f>
        <v>0</v>
      </c>
      <c r="K157" s="30" t="s">
        <v>60</v>
      </c>
      <c r="Z157" s="29">
        <f>IF(AQ157="5",BJ157,0)</f>
        <v>0</v>
      </c>
      <c r="AB157" s="29">
        <f>IF(AQ157="1",BH157,0)</f>
        <v>0</v>
      </c>
      <c r="AC157" s="29">
        <f>IF(AQ157="1",BI157,0)</f>
        <v>0</v>
      </c>
      <c r="AD157" s="29">
        <f>IF(AQ157="7",BH157,0)</f>
        <v>0</v>
      </c>
      <c r="AE157" s="29">
        <f>IF(AQ157="7",BI157,0)</f>
        <v>0</v>
      </c>
      <c r="AF157" s="29">
        <f>IF(AQ157="2",BH157,0)</f>
        <v>0</v>
      </c>
      <c r="AG157" s="29">
        <f>IF(AQ157="2",BI157,0)</f>
        <v>0</v>
      </c>
      <c r="AH157" s="29">
        <f>IF(AQ157="0",BJ157,0)</f>
        <v>0</v>
      </c>
      <c r="AI157" s="11" t="s">
        <v>55</v>
      </c>
      <c r="AJ157" s="29">
        <f>IF(AN157=0,J157,0)</f>
        <v>0</v>
      </c>
      <c r="AK157" s="29">
        <f>IF(AN157=12,J157,0)</f>
        <v>0</v>
      </c>
      <c r="AL157" s="29">
        <f>IF(AN157=21,J157,0)</f>
        <v>0</v>
      </c>
      <c r="AN157" s="29">
        <v>21</v>
      </c>
      <c r="AO157" s="29">
        <f>G157*0</f>
        <v>0</v>
      </c>
      <c r="AP157" s="29">
        <f>G157*(1-0)</f>
        <v>0</v>
      </c>
      <c r="AQ157" s="31" t="s">
        <v>70</v>
      </c>
      <c r="AV157" s="29">
        <f>AW157+AX157</f>
        <v>0</v>
      </c>
      <c r="AW157" s="29">
        <f>F157*AO157</f>
        <v>0</v>
      </c>
      <c r="AX157" s="29">
        <f>F157*AP157</f>
        <v>0</v>
      </c>
      <c r="AY157" s="31" t="s">
        <v>346</v>
      </c>
      <c r="AZ157" s="31" t="s">
        <v>62</v>
      </c>
      <c r="BA157" s="11" t="s">
        <v>63</v>
      </c>
      <c r="BC157" s="29">
        <f>AW157+AX157</f>
        <v>0</v>
      </c>
      <c r="BD157" s="29">
        <f>G157/(100-BE157)*100</f>
        <v>0</v>
      </c>
      <c r="BE157" s="29">
        <v>0</v>
      </c>
      <c r="BF157" s="29">
        <f>157</f>
        <v>157</v>
      </c>
      <c r="BH157" s="29">
        <f>F157*AO157</f>
        <v>0</v>
      </c>
      <c r="BI157" s="29">
        <f>F157*AP157</f>
        <v>0</v>
      </c>
      <c r="BJ157" s="29">
        <f>F157*G157</f>
        <v>0</v>
      </c>
      <c r="BK157" s="29"/>
      <c r="BL157" s="29"/>
      <c r="BW157" s="29">
        <v>21</v>
      </c>
      <c r="BX157" s="5" t="s">
        <v>361</v>
      </c>
    </row>
    <row r="158" spans="1:76" ht="14.4" x14ac:dyDescent="0.3">
      <c r="A158" s="25" t="s">
        <v>51</v>
      </c>
      <c r="B158" s="26" t="s">
        <v>362</v>
      </c>
      <c r="C158" s="143" t="s">
        <v>363</v>
      </c>
      <c r="D158" s="144"/>
      <c r="E158" s="27" t="s">
        <v>4</v>
      </c>
      <c r="F158" s="27" t="s">
        <v>4</v>
      </c>
      <c r="G158" s="27" t="s">
        <v>4</v>
      </c>
      <c r="H158" s="1">
        <f>SUM(H159:H165)</f>
        <v>0</v>
      </c>
      <c r="I158" s="1">
        <f>SUM(I159:I165)</f>
        <v>0</v>
      </c>
      <c r="J158" s="1">
        <f>SUM(J159:J165)</f>
        <v>0</v>
      </c>
      <c r="K158" s="28" t="s">
        <v>51</v>
      </c>
      <c r="AI158" s="11" t="s">
        <v>55</v>
      </c>
      <c r="AS158" s="1">
        <f>SUM(AJ159:AJ165)</f>
        <v>0</v>
      </c>
      <c r="AT158" s="1">
        <f>SUM(AK159:AK165)</f>
        <v>0</v>
      </c>
      <c r="AU158" s="1">
        <f>SUM(AL159:AL165)</f>
        <v>0</v>
      </c>
    </row>
    <row r="159" spans="1:76" ht="14.4" x14ac:dyDescent="0.3">
      <c r="A159" s="2" t="s">
        <v>364</v>
      </c>
      <c r="B159" s="3" t="s">
        <v>365</v>
      </c>
      <c r="C159" s="87" t="s">
        <v>366</v>
      </c>
      <c r="D159" s="84"/>
      <c r="E159" s="3" t="s">
        <v>73</v>
      </c>
      <c r="F159" s="29">
        <v>35</v>
      </c>
      <c r="G159" s="29">
        <v>0</v>
      </c>
      <c r="H159" s="29">
        <f>F159*AO159</f>
        <v>0</v>
      </c>
      <c r="I159" s="29">
        <f>F159*AP159</f>
        <v>0</v>
      </c>
      <c r="J159" s="29">
        <f>F159*G159</f>
        <v>0</v>
      </c>
      <c r="K159" s="30" t="s">
        <v>60</v>
      </c>
      <c r="Z159" s="29">
        <f>IF(AQ159="5",BJ159,0)</f>
        <v>0</v>
      </c>
      <c r="AB159" s="29">
        <f>IF(AQ159="1",BH159,0)</f>
        <v>0</v>
      </c>
      <c r="AC159" s="29">
        <f>IF(AQ159="1",BI159,0)</f>
        <v>0</v>
      </c>
      <c r="AD159" s="29">
        <f>IF(AQ159="7",BH159,0)</f>
        <v>0</v>
      </c>
      <c r="AE159" s="29">
        <f>IF(AQ159="7",BI159,0)</f>
        <v>0</v>
      </c>
      <c r="AF159" s="29">
        <f>IF(AQ159="2",BH159,0)</f>
        <v>0</v>
      </c>
      <c r="AG159" s="29">
        <f>IF(AQ159="2",BI159,0)</f>
        <v>0</v>
      </c>
      <c r="AH159" s="29">
        <f>IF(AQ159="0",BJ159,0)</f>
        <v>0</v>
      </c>
      <c r="AI159" s="11" t="s">
        <v>55</v>
      </c>
      <c r="AJ159" s="29">
        <f>IF(AN159=0,J159,0)</f>
        <v>0</v>
      </c>
      <c r="AK159" s="29">
        <f>IF(AN159=12,J159,0)</f>
        <v>0</v>
      </c>
      <c r="AL159" s="29">
        <f>IF(AN159=21,J159,0)</f>
        <v>0</v>
      </c>
      <c r="AN159" s="29">
        <v>21</v>
      </c>
      <c r="AO159" s="29">
        <f>G159*0</f>
        <v>0</v>
      </c>
      <c r="AP159" s="29">
        <f>G159*(1-0)</f>
        <v>0</v>
      </c>
      <c r="AQ159" s="31" t="s">
        <v>70</v>
      </c>
      <c r="AV159" s="29">
        <f>AW159+AX159</f>
        <v>0</v>
      </c>
      <c r="AW159" s="29">
        <f>F159*AO159</f>
        <v>0</v>
      </c>
      <c r="AX159" s="29">
        <f>F159*AP159</f>
        <v>0</v>
      </c>
      <c r="AY159" s="31" t="s">
        <v>367</v>
      </c>
      <c r="AZ159" s="31" t="s">
        <v>62</v>
      </c>
      <c r="BA159" s="11" t="s">
        <v>63</v>
      </c>
      <c r="BC159" s="29">
        <f>AW159+AX159</f>
        <v>0</v>
      </c>
      <c r="BD159" s="29">
        <f>G159/(100-BE159)*100</f>
        <v>0</v>
      </c>
      <c r="BE159" s="29">
        <v>0</v>
      </c>
      <c r="BF159" s="29">
        <f>159</f>
        <v>159</v>
      </c>
      <c r="BH159" s="29">
        <f>F159*AO159</f>
        <v>0</v>
      </c>
      <c r="BI159" s="29">
        <f>F159*AP159</f>
        <v>0</v>
      </c>
      <c r="BJ159" s="29">
        <f>F159*G159</f>
        <v>0</v>
      </c>
      <c r="BK159" s="29"/>
      <c r="BL159" s="29"/>
      <c r="BW159" s="29">
        <v>21</v>
      </c>
      <c r="BX159" s="5" t="s">
        <v>366</v>
      </c>
    </row>
    <row r="160" spans="1:76" ht="14.4" x14ac:dyDescent="0.3">
      <c r="A160" s="32"/>
      <c r="C160" s="33" t="s">
        <v>368</v>
      </c>
      <c r="D160" s="33" t="s">
        <v>369</v>
      </c>
      <c r="F160" s="34">
        <v>21</v>
      </c>
      <c r="K160" s="35"/>
    </row>
    <row r="161" spans="1:76" ht="14.4" x14ac:dyDescent="0.3">
      <c r="A161" s="32"/>
      <c r="C161" s="33" t="s">
        <v>370</v>
      </c>
      <c r="D161" s="33" t="s">
        <v>371</v>
      </c>
      <c r="F161" s="34">
        <v>14</v>
      </c>
      <c r="K161" s="35"/>
    </row>
    <row r="162" spans="1:76" ht="14.4" x14ac:dyDescent="0.3">
      <c r="A162" s="2" t="s">
        <v>372</v>
      </c>
      <c r="B162" s="3" t="s">
        <v>373</v>
      </c>
      <c r="C162" s="87" t="s">
        <v>374</v>
      </c>
      <c r="D162" s="84"/>
      <c r="E162" s="3" t="s">
        <v>73</v>
      </c>
      <c r="F162" s="29">
        <v>32</v>
      </c>
      <c r="G162" s="29">
        <v>0</v>
      </c>
      <c r="H162" s="29">
        <f>F162*AO162</f>
        <v>0</v>
      </c>
      <c r="I162" s="29">
        <f>F162*AP162</f>
        <v>0</v>
      </c>
      <c r="J162" s="29">
        <f>F162*G162</f>
        <v>0</v>
      </c>
      <c r="K162" s="30" t="s">
        <v>60</v>
      </c>
      <c r="Z162" s="29">
        <f>IF(AQ162="5",BJ162,0)</f>
        <v>0</v>
      </c>
      <c r="AB162" s="29">
        <f>IF(AQ162="1",BH162,0)</f>
        <v>0</v>
      </c>
      <c r="AC162" s="29">
        <f>IF(AQ162="1",BI162,0)</f>
        <v>0</v>
      </c>
      <c r="AD162" s="29">
        <f>IF(AQ162="7",BH162,0)</f>
        <v>0</v>
      </c>
      <c r="AE162" s="29">
        <f>IF(AQ162="7",BI162,0)</f>
        <v>0</v>
      </c>
      <c r="AF162" s="29">
        <f>IF(AQ162="2",BH162,0)</f>
        <v>0</v>
      </c>
      <c r="AG162" s="29">
        <f>IF(AQ162="2",BI162,0)</f>
        <v>0</v>
      </c>
      <c r="AH162" s="29">
        <f>IF(AQ162="0",BJ162,0)</f>
        <v>0</v>
      </c>
      <c r="AI162" s="11" t="s">
        <v>55</v>
      </c>
      <c r="AJ162" s="29">
        <f>IF(AN162=0,J162,0)</f>
        <v>0</v>
      </c>
      <c r="AK162" s="29">
        <f>IF(AN162=12,J162,0)</f>
        <v>0</v>
      </c>
      <c r="AL162" s="29">
        <f>IF(AN162=21,J162,0)</f>
        <v>0</v>
      </c>
      <c r="AN162" s="29">
        <v>21</v>
      </c>
      <c r="AO162" s="29">
        <f>G162*0</f>
        <v>0</v>
      </c>
      <c r="AP162" s="29">
        <f>G162*(1-0)</f>
        <v>0</v>
      </c>
      <c r="AQ162" s="31" t="s">
        <v>70</v>
      </c>
      <c r="AV162" s="29">
        <f>AW162+AX162</f>
        <v>0</v>
      </c>
      <c r="AW162" s="29">
        <f>F162*AO162</f>
        <v>0</v>
      </c>
      <c r="AX162" s="29">
        <f>F162*AP162</f>
        <v>0</v>
      </c>
      <c r="AY162" s="31" t="s">
        <v>367</v>
      </c>
      <c r="AZ162" s="31" t="s">
        <v>62</v>
      </c>
      <c r="BA162" s="11" t="s">
        <v>63</v>
      </c>
      <c r="BC162" s="29">
        <f>AW162+AX162</f>
        <v>0</v>
      </c>
      <c r="BD162" s="29">
        <f>G162/(100-BE162)*100</f>
        <v>0</v>
      </c>
      <c r="BE162" s="29">
        <v>0</v>
      </c>
      <c r="BF162" s="29">
        <f>162</f>
        <v>162</v>
      </c>
      <c r="BH162" s="29">
        <f>F162*AO162</f>
        <v>0</v>
      </c>
      <c r="BI162" s="29">
        <f>F162*AP162</f>
        <v>0</v>
      </c>
      <c r="BJ162" s="29">
        <f>F162*G162</f>
        <v>0</v>
      </c>
      <c r="BK162" s="29"/>
      <c r="BL162" s="29"/>
      <c r="BW162" s="29">
        <v>21</v>
      </c>
      <c r="BX162" s="5" t="s">
        <v>374</v>
      </c>
    </row>
    <row r="163" spans="1:76" ht="14.4" x14ac:dyDescent="0.3">
      <c r="A163" s="32"/>
      <c r="C163" s="33" t="s">
        <v>251</v>
      </c>
      <c r="D163" s="33" t="s">
        <v>51</v>
      </c>
      <c r="F163" s="34">
        <v>32</v>
      </c>
      <c r="K163" s="35"/>
    </row>
    <row r="164" spans="1:76" ht="14.4" x14ac:dyDescent="0.3">
      <c r="A164" s="2" t="s">
        <v>375</v>
      </c>
      <c r="B164" s="3" t="s">
        <v>376</v>
      </c>
      <c r="C164" s="87" t="s">
        <v>377</v>
      </c>
      <c r="D164" s="84"/>
      <c r="E164" s="3" t="s">
        <v>103</v>
      </c>
      <c r="F164" s="29">
        <v>20</v>
      </c>
      <c r="G164" s="29">
        <v>0</v>
      </c>
      <c r="H164" s="29">
        <f>F164*AO164</f>
        <v>0</v>
      </c>
      <c r="I164" s="29">
        <f>F164*AP164</f>
        <v>0</v>
      </c>
      <c r="J164" s="29">
        <f>F164*G164</f>
        <v>0</v>
      </c>
      <c r="K164" s="30" t="s">
        <v>60</v>
      </c>
      <c r="Z164" s="29">
        <f>IF(AQ164="5",BJ164,0)</f>
        <v>0</v>
      </c>
      <c r="AB164" s="29">
        <f>IF(AQ164="1",BH164,0)</f>
        <v>0</v>
      </c>
      <c r="AC164" s="29">
        <f>IF(AQ164="1",BI164,0)</f>
        <v>0</v>
      </c>
      <c r="AD164" s="29">
        <f>IF(AQ164="7",BH164,0)</f>
        <v>0</v>
      </c>
      <c r="AE164" s="29">
        <f>IF(AQ164="7",BI164,0)</f>
        <v>0</v>
      </c>
      <c r="AF164" s="29">
        <f>IF(AQ164="2",BH164,0)</f>
        <v>0</v>
      </c>
      <c r="AG164" s="29">
        <f>IF(AQ164="2",BI164,0)</f>
        <v>0</v>
      </c>
      <c r="AH164" s="29">
        <f>IF(AQ164="0",BJ164,0)</f>
        <v>0</v>
      </c>
      <c r="AI164" s="11" t="s">
        <v>55</v>
      </c>
      <c r="AJ164" s="29">
        <f>IF(AN164=0,J164,0)</f>
        <v>0</v>
      </c>
      <c r="AK164" s="29">
        <f>IF(AN164=12,J164,0)</f>
        <v>0</v>
      </c>
      <c r="AL164" s="29">
        <f>IF(AN164=21,J164,0)</f>
        <v>0</v>
      </c>
      <c r="AN164" s="29">
        <v>21</v>
      </c>
      <c r="AO164" s="29">
        <f>G164*0</f>
        <v>0</v>
      </c>
      <c r="AP164" s="29">
        <f>G164*(1-0)</f>
        <v>0</v>
      </c>
      <c r="AQ164" s="31" t="s">
        <v>70</v>
      </c>
      <c r="AV164" s="29">
        <f>AW164+AX164</f>
        <v>0</v>
      </c>
      <c r="AW164" s="29">
        <f>F164*AO164</f>
        <v>0</v>
      </c>
      <c r="AX164" s="29">
        <f>F164*AP164</f>
        <v>0</v>
      </c>
      <c r="AY164" s="31" t="s">
        <v>367</v>
      </c>
      <c r="AZ164" s="31" t="s">
        <v>62</v>
      </c>
      <c r="BA164" s="11" t="s">
        <v>63</v>
      </c>
      <c r="BC164" s="29">
        <f>AW164+AX164</f>
        <v>0</v>
      </c>
      <c r="BD164" s="29">
        <f>G164/(100-BE164)*100</f>
        <v>0</v>
      </c>
      <c r="BE164" s="29">
        <v>0</v>
      </c>
      <c r="BF164" s="29">
        <f>164</f>
        <v>164</v>
      </c>
      <c r="BH164" s="29">
        <f>F164*AO164</f>
        <v>0</v>
      </c>
      <c r="BI164" s="29">
        <f>F164*AP164</f>
        <v>0</v>
      </c>
      <c r="BJ164" s="29">
        <f>F164*G164</f>
        <v>0</v>
      </c>
      <c r="BK164" s="29"/>
      <c r="BL164" s="29"/>
      <c r="BW164" s="29">
        <v>21</v>
      </c>
      <c r="BX164" s="5" t="s">
        <v>377</v>
      </c>
    </row>
    <row r="165" spans="1:76" ht="14.4" x14ac:dyDescent="0.3">
      <c r="A165" s="2" t="s">
        <v>378</v>
      </c>
      <c r="B165" s="3" t="s">
        <v>379</v>
      </c>
      <c r="C165" s="87" t="s">
        <v>380</v>
      </c>
      <c r="D165" s="84"/>
      <c r="E165" s="3" t="s">
        <v>103</v>
      </c>
      <c r="F165" s="29">
        <v>6</v>
      </c>
      <c r="G165" s="29">
        <v>0</v>
      </c>
      <c r="H165" s="29">
        <f>F165*AO165</f>
        <v>0</v>
      </c>
      <c r="I165" s="29">
        <f>F165*AP165</f>
        <v>0</v>
      </c>
      <c r="J165" s="29">
        <f>F165*G165</f>
        <v>0</v>
      </c>
      <c r="K165" s="30" t="s">
        <v>60</v>
      </c>
      <c r="Z165" s="29">
        <f>IF(AQ165="5",BJ165,0)</f>
        <v>0</v>
      </c>
      <c r="AB165" s="29">
        <f>IF(AQ165="1",BH165,0)</f>
        <v>0</v>
      </c>
      <c r="AC165" s="29">
        <f>IF(AQ165="1",BI165,0)</f>
        <v>0</v>
      </c>
      <c r="AD165" s="29">
        <f>IF(AQ165="7",BH165,0)</f>
        <v>0</v>
      </c>
      <c r="AE165" s="29">
        <f>IF(AQ165="7",BI165,0)</f>
        <v>0</v>
      </c>
      <c r="AF165" s="29">
        <f>IF(AQ165="2",BH165,0)</f>
        <v>0</v>
      </c>
      <c r="AG165" s="29">
        <f>IF(AQ165="2",BI165,0)</f>
        <v>0</v>
      </c>
      <c r="AH165" s="29">
        <f>IF(AQ165="0",BJ165,0)</f>
        <v>0</v>
      </c>
      <c r="AI165" s="11" t="s">
        <v>55</v>
      </c>
      <c r="AJ165" s="29">
        <f>IF(AN165=0,J165,0)</f>
        <v>0</v>
      </c>
      <c r="AK165" s="29">
        <f>IF(AN165=12,J165,0)</f>
        <v>0</v>
      </c>
      <c r="AL165" s="29">
        <f>IF(AN165=21,J165,0)</f>
        <v>0</v>
      </c>
      <c r="AN165" s="29">
        <v>21</v>
      </c>
      <c r="AO165" s="29">
        <f>G165*0</f>
        <v>0</v>
      </c>
      <c r="AP165" s="29">
        <f>G165*(1-0)</f>
        <v>0</v>
      </c>
      <c r="AQ165" s="31" t="s">
        <v>70</v>
      </c>
      <c r="AV165" s="29">
        <f>AW165+AX165</f>
        <v>0</v>
      </c>
      <c r="AW165" s="29">
        <f>F165*AO165</f>
        <v>0</v>
      </c>
      <c r="AX165" s="29">
        <f>F165*AP165</f>
        <v>0</v>
      </c>
      <c r="AY165" s="31" t="s">
        <v>367</v>
      </c>
      <c r="AZ165" s="31" t="s">
        <v>62</v>
      </c>
      <c r="BA165" s="11" t="s">
        <v>63</v>
      </c>
      <c r="BC165" s="29">
        <f>AW165+AX165</f>
        <v>0</v>
      </c>
      <c r="BD165" s="29">
        <f>G165/(100-BE165)*100</f>
        <v>0</v>
      </c>
      <c r="BE165" s="29">
        <v>0</v>
      </c>
      <c r="BF165" s="29">
        <f>165</f>
        <v>165</v>
      </c>
      <c r="BH165" s="29">
        <f>F165*AO165</f>
        <v>0</v>
      </c>
      <c r="BI165" s="29">
        <f>F165*AP165</f>
        <v>0</v>
      </c>
      <c r="BJ165" s="29">
        <f>F165*G165</f>
        <v>0</v>
      </c>
      <c r="BK165" s="29"/>
      <c r="BL165" s="29"/>
      <c r="BW165" s="29">
        <v>21</v>
      </c>
      <c r="BX165" s="5" t="s">
        <v>380</v>
      </c>
    </row>
    <row r="166" spans="1:76" ht="14.4" x14ac:dyDescent="0.3">
      <c r="A166" s="25" t="s">
        <v>51</v>
      </c>
      <c r="B166" s="26" t="s">
        <v>381</v>
      </c>
      <c r="C166" s="143" t="s">
        <v>382</v>
      </c>
      <c r="D166" s="144"/>
      <c r="E166" s="27" t="s">
        <v>4</v>
      </c>
      <c r="F166" s="27" t="s">
        <v>4</v>
      </c>
      <c r="G166" s="27" t="s">
        <v>4</v>
      </c>
      <c r="H166" s="1">
        <f>SUM(H167:H192)</f>
        <v>0</v>
      </c>
      <c r="I166" s="1">
        <f>SUM(I167:I192)</f>
        <v>0</v>
      </c>
      <c r="J166" s="1">
        <f>SUM(J167:J192)</f>
        <v>0</v>
      </c>
      <c r="K166" s="28" t="s">
        <v>51</v>
      </c>
      <c r="AI166" s="11" t="s">
        <v>55</v>
      </c>
      <c r="AS166" s="1">
        <f>SUM(AJ167:AJ192)</f>
        <v>0</v>
      </c>
      <c r="AT166" s="1">
        <f>SUM(AK167:AK192)</f>
        <v>0</v>
      </c>
      <c r="AU166" s="1">
        <f>SUM(AL167:AL192)</f>
        <v>0</v>
      </c>
    </row>
    <row r="167" spans="1:76" ht="14.4" x14ac:dyDescent="0.3">
      <c r="A167" s="2" t="s">
        <v>383</v>
      </c>
      <c r="B167" s="3" t="s">
        <v>384</v>
      </c>
      <c r="C167" s="87" t="s">
        <v>385</v>
      </c>
      <c r="D167" s="84"/>
      <c r="E167" s="3" t="s">
        <v>269</v>
      </c>
      <c r="F167" s="29">
        <v>134.08000000000001</v>
      </c>
      <c r="G167" s="29">
        <v>0</v>
      </c>
      <c r="H167" s="29">
        <f>F167*AO167</f>
        <v>0</v>
      </c>
      <c r="I167" s="29">
        <f>F167*AP167</f>
        <v>0</v>
      </c>
      <c r="J167" s="29">
        <f>F167*G167</f>
        <v>0</v>
      </c>
      <c r="K167" s="30" t="s">
        <v>60</v>
      </c>
      <c r="Z167" s="29">
        <f>IF(AQ167="5",BJ167,0)</f>
        <v>0</v>
      </c>
      <c r="AB167" s="29">
        <f>IF(AQ167="1",BH167,0)</f>
        <v>0</v>
      </c>
      <c r="AC167" s="29">
        <f>IF(AQ167="1",BI167,0)</f>
        <v>0</v>
      </c>
      <c r="AD167" s="29">
        <f>IF(AQ167="7",BH167,0)</f>
        <v>0</v>
      </c>
      <c r="AE167" s="29">
        <f>IF(AQ167="7",BI167,0)</f>
        <v>0</v>
      </c>
      <c r="AF167" s="29">
        <f>IF(AQ167="2",BH167,0)</f>
        <v>0</v>
      </c>
      <c r="AG167" s="29">
        <f>IF(AQ167="2",BI167,0)</f>
        <v>0</v>
      </c>
      <c r="AH167" s="29">
        <f>IF(AQ167="0",BJ167,0)</f>
        <v>0</v>
      </c>
      <c r="AI167" s="11" t="s">
        <v>55</v>
      </c>
      <c r="AJ167" s="29">
        <f>IF(AN167=0,J167,0)</f>
        <v>0</v>
      </c>
      <c r="AK167" s="29">
        <f>IF(AN167=12,J167,0)</f>
        <v>0</v>
      </c>
      <c r="AL167" s="29">
        <f>IF(AN167=21,J167,0)</f>
        <v>0</v>
      </c>
      <c r="AN167" s="29">
        <v>21</v>
      </c>
      <c r="AO167" s="29">
        <f>G167*0</f>
        <v>0</v>
      </c>
      <c r="AP167" s="29">
        <f>G167*(1-0)</f>
        <v>0</v>
      </c>
      <c r="AQ167" s="31" t="s">
        <v>100</v>
      </c>
      <c r="AV167" s="29">
        <f>AW167+AX167</f>
        <v>0</v>
      </c>
      <c r="AW167" s="29">
        <f>F167*AO167</f>
        <v>0</v>
      </c>
      <c r="AX167" s="29">
        <f>F167*AP167</f>
        <v>0</v>
      </c>
      <c r="AY167" s="31" t="s">
        <v>386</v>
      </c>
      <c r="AZ167" s="31" t="s">
        <v>62</v>
      </c>
      <c r="BA167" s="11" t="s">
        <v>63</v>
      </c>
      <c r="BC167" s="29">
        <f>AW167+AX167</f>
        <v>0</v>
      </c>
      <c r="BD167" s="29">
        <f>G167/(100-BE167)*100</f>
        <v>0</v>
      </c>
      <c r="BE167" s="29">
        <v>0</v>
      </c>
      <c r="BF167" s="29">
        <f>167</f>
        <v>167</v>
      </c>
      <c r="BH167" s="29">
        <f>F167*AO167</f>
        <v>0</v>
      </c>
      <c r="BI167" s="29">
        <f>F167*AP167</f>
        <v>0</v>
      </c>
      <c r="BJ167" s="29">
        <f>F167*G167</f>
        <v>0</v>
      </c>
      <c r="BK167" s="29"/>
      <c r="BL167" s="29"/>
      <c r="BW167" s="29">
        <v>21</v>
      </c>
      <c r="BX167" s="5" t="s">
        <v>385</v>
      </c>
    </row>
    <row r="168" spans="1:76" ht="14.4" x14ac:dyDescent="0.3">
      <c r="A168" s="32"/>
      <c r="C168" s="33" t="s">
        <v>387</v>
      </c>
      <c r="D168" s="33" t="s">
        <v>388</v>
      </c>
      <c r="F168" s="34">
        <v>2.02</v>
      </c>
      <c r="K168" s="35"/>
    </row>
    <row r="169" spans="1:76" ht="14.4" x14ac:dyDescent="0.3">
      <c r="A169" s="32"/>
      <c r="C169" s="33" t="s">
        <v>389</v>
      </c>
      <c r="D169" s="33" t="s">
        <v>390</v>
      </c>
      <c r="F169" s="34">
        <v>8.07</v>
      </c>
      <c r="K169" s="35"/>
    </row>
    <row r="170" spans="1:76" ht="14.4" x14ac:dyDescent="0.3">
      <c r="A170" s="32"/>
      <c r="C170" s="33" t="s">
        <v>391</v>
      </c>
      <c r="D170" s="33" t="s">
        <v>392</v>
      </c>
      <c r="F170" s="34">
        <v>0.49</v>
      </c>
      <c r="K170" s="35"/>
    </row>
    <row r="171" spans="1:76" ht="14.4" x14ac:dyDescent="0.3">
      <c r="A171" s="32"/>
      <c r="C171" s="33" t="s">
        <v>393</v>
      </c>
      <c r="D171" s="33" t="s">
        <v>394</v>
      </c>
      <c r="F171" s="34">
        <v>97.13</v>
      </c>
      <c r="K171" s="35"/>
    </row>
    <row r="172" spans="1:76" ht="14.4" x14ac:dyDescent="0.3">
      <c r="A172" s="32"/>
      <c r="C172" s="33" t="s">
        <v>395</v>
      </c>
      <c r="D172" s="33" t="s">
        <v>396</v>
      </c>
      <c r="F172" s="34">
        <v>0.56000000000000005</v>
      </c>
      <c r="K172" s="35"/>
    </row>
    <row r="173" spans="1:76" ht="14.4" x14ac:dyDescent="0.3">
      <c r="A173" s="32"/>
      <c r="C173" s="33" t="s">
        <v>397</v>
      </c>
      <c r="D173" s="33" t="s">
        <v>398</v>
      </c>
      <c r="F173" s="34">
        <v>17.940000000000001</v>
      </c>
      <c r="K173" s="35"/>
    </row>
    <row r="174" spans="1:76" ht="14.4" x14ac:dyDescent="0.3">
      <c r="A174" s="32"/>
      <c r="C174" s="33" t="s">
        <v>399</v>
      </c>
      <c r="D174" s="33" t="s">
        <v>400</v>
      </c>
      <c r="F174" s="34">
        <v>7.87</v>
      </c>
      <c r="K174" s="35"/>
    </row>
    <row r="175" spans="1:76" ht="14.4" x14ac:dyDescent="0.3">
      <c r="A175" s="2" t="s">
        <v>401</v>
      </c>
      <c r="B175" s="3" t="s">
        <v>402</v>
      </c>
      <c r="C175" s="87" t="s">
        <v>403</v>
      </c>
      <c r="D175" s="84"/>
      <c r="E175" s="3" t="s">
        <v>269</v>
      </c>
      <c r="F175" s="29">
        <v>134.08000000000001</v>
      </c>
      <c r="G175" s="29">
        <v>0</v>
      </c>
      <c r="H175" s="29">
        <f>F175*AO175</f>
        <v>0</v>
      </c>
      <c r="I175" s="29">
        <f>F175*AP175</f>
        <v>0</v>
      </c>
      <c r="J175" s="29">
        <f>F175*G175</f>
        <v>0</v>
      </c>
      <c r="K175" s="30" t="s">
        <v>60</v>
      </c>
      <c r="Z175" s="29">
        <f>IF(AQ175="5",BJ175,0)</f>
        <v>0</v>
      </c>
      <c r="AB175" s="29">
        <f>IF(AQ175="1",BH175,0)</f>
        <v>0</v>
      </c>
      <c r="AC175" s="29">
        <f>IF(AQ175="1",BI175,0)</f>
        <v>0</v>
      </c>
      <c r="AD175" s="29">
        <f>IF(AQ175="7",BH175,0)</f>
        <v>0</v>
      </c>
      <c r="AE175" s="29">
        <f>IF(AQ175="7",BI175,0)</f>
        <v>0</v>
      </c>
      <c r="AF175" s="29">
        <f>IF(AQ175="2",BH175,0)</f>
        <v>0</v>
      </c>
      <c r="AG175" s="29">
        <f>IF(AQ175="2",BI175,0)</f>
        <v>0</v>
      </c>
      <c r="AH175" s="29">
        <f>IF(AQ175="0",BJ175,0)</f>
        <v>0</v>
      </c>
      <c r="AI175" s="11" t="s">
        <v>55</v>
      </c>
      <c r="AJ175" s="29">
        <f>IF(AN175=0,J175,0)</f>
        <v>0</v>
      </c>
      <c r="AK175" s="29">
        <f>IF(AN175=12,J175,0)</f>
        <v>0</v>
      </c>
      <c r="AL175" s="29">
        <f>IF(AN175=21,J175,0)</f>
        <v>0</v>
      </c>
      <c r="AN175" s="29">
        <v>21</v>
      </c>
      <c r="AO175" s="29">
        <f>G175*0</f>
        <v>0</v>
      </c>
      <c r="AP175" s="29">
        <f>G175*(1-0)</f>
        <v>0</v>
      </c>
      <c r="AQ175" s="31" t="s">
        <v>100</v>
      </c>
      <c r="AV175" s="29">
        <f>AW175+AX175</f>
        <v>0</v>
      </c>
      <c r="AW175" s="29">
        <f>F175*AO175</f>
        <v>0</v>
      </c>
      <c r="AX175" s="29">
        <f>F175*AP175</f>
        <v>0</v>
      </c>
      <c r="AY175" s="31" t="s">
        <v>386</v>
      </c>
      <c r="AZ175" s="31" t="s">
        <v>62</v>
      </c>
      <c r="BA175" s="11" t="s">
        <v>63</v>
      </c>
      <c r="BC175" s="29">
        <f>AW175+AX175</f>
        <v>0</v>
      </c>
      <c r="BD175" s="29">
        <f>G175/(100-BE175)*100</f>
        <v>0</v>
      </c>
      <c r="BE175" s="29">
        <v>0</v>
      </c>
      <c r="BF175" s="29">
        <f>175</f>
        <v>175</v>
      </c>
      <c r="BH175" s="29">
        <f>F175*AO175</f>
        <v>0</v>
      </c>
      <c r="BI175" s="29">
        <f>F175*AP175</f>
        <v>0</v>
      </c>
      <c r="BJ175" s="29">
        <f>F175*G175</f>
        <v>0</v>
      </c>
      <c r="BK175" s="29"/>
      <c r="BL175" s="29"/>
      <c r="BW175" s="29">
        <v>21</v>
      </c>
      <c r="BX175" s="5" t="s">
        <v>403</v>
      </c>
    </row>
    <row r="176" spans="1:76" ht="14.4" x14ac:dyDescent="0.3">
      <c r="A176" s="2" t="s">
        <v>404</v>
      </c>
      <c r="B176" s="3" t="s">
        <v>405</v>
      </c>
      <c r="C176" s="87" t="s">
        <v>406</v>
      </c>
      <c r="D176" s="84"/>
      <c r="E176" s="3" t="s">
        <v>269</v>
      </c>
      <c r="F176" s="29">
        <v>134.08000000000001</v>
      </c>
      <c r="G176" s="29">
        <v>0</v>
      </c>
      <c r="H176" s="29">
        <f>F176*AO176</f>
        <v>0</v>
      </c>
      <c r="I176" s="29">
        <f>F176*AP176</f>
        <v>0</v>
      </c>
      <c r="J176" s="29">
        <f>F176*G176</f>
        <v>0</v>
      </c>
      <c r="K176" s="30" t="s">
        <v>60</v>
      </c>
      <c r="Z176" s="29">
        <f>IF(AQ176="5",BJ176,0)</f>
        <v>0</v>
      </c>
      <c r="AB176" s="29">
        <f>IF(AQ176="1",BH176,0)</f>
        <v>0</v>
      </c>
      <c r="AC176" s="29">
        <f>IF(AQ176="1",BI176,0)</f>
        <v>0</v>
      </c>
      <c r="AD176" s="29">
        <f>IF(AQ176="7",BH176,0)</f>
        <v>0</v>
      </c>
      <c r="AE176" s="29">
        <f>IF(AQ176="7",BI176,0)</f>
        <v>0</v>
      </c>
      <c r="AF176" s="29">
        <f>IF(AQ176="2",BH176,0)</f>
        <v>0</v>
      </c>
      <c r="AG176" s="29">
        <f>IF(AQ176="2",BI176,0)</f>
        <v>0</v>
      </c>
      <c r="AH176" s="29">
        <f>IF(AQ176="0",BJ176,0)</f>
        <v>0</v>
      </c>
      <c r="AI176" s="11" t="s">
        <v>55</v>
      </c>
      <c r="AJ176" s="29">
        <f>IF(AN176=0,J176,0)</f>
        <v>0</v>
      </c>
      <c r="AK176" s="29">
        <f>IF(AN176=12,J176,0)</f>
        <v>0</v>
      </c>
      <c r="AL176" s="29">
        <f>IF(AN176=21,J176,0)</f>
        <v>0</v>
      </c>
      <c r="AN176" s="29">
        <v>21</v>
      </c>
      <c r="AO176" s="29">
        <f>G176*0</f>
        <v>0</v>
      </c>
      <c r="AP176" s="29">
        <f>G176*(1-0)</f>
        <v>0</v>
      </c>
      <c r="AQ176" s="31" t="s">
        <v>100</v>
      </c>
      <c r="AV176" s="29">
        <f>AW176+AX176</f>
        <v>0</v>
      </c>
      <c r="AW176" s="29">
        <f>F176*AO176</f>
        <v>0</v>
      </c>
      <c r="AX176" s="29">
        <f>F176*AP176</f>
        <v>0</v>
      </c>
      <c r="AY176" s="31" t="s">
        <v>386</v>
      </c>
      <c r="AZ176" s="31" t="s">
        <v>62</v>
      </c>
      <c r="BA176" s="11" t="s">
        <v>63</v>
      </c>
      <c r="BC176" s="29">
        <f>AW176+AX176</f>
        <v>0</v>
      </c>
      <c r="BD176" s="29">
        <f>G176/(100-BE176)*100</f>
        <v>0</v>
      </c>
      <c r="BE176" s="29">
        <v>0</v>
      </c>
      <c r="BF176" s="29">
        <f>176</f>
        <v>176</v>
      </c>
      <c r="BH176" s="29">
        <f>F176*AO176</f>
        <v>0</v>
      </c>
      <c r="BI176" s="29">
        <f>F176*AP176</f>
        <v>0</v>
      </c>
      <c r="BJ176" s="29">
        <f>F176*G176</f>
        <v>0</v>
      </c>
      <c r="BK176" s="29"/>
      <c r="BL176" s="29"/>
      <c r="BW176" s="29">
        <v>21</v>
      </c>
      <c r="BX176" s="5" t="s">
        <v>406</v>
      </c>
    </row>
    <row r="177" spans="1:76" ht="14.4" x14ac:dyDescent="0.3">
      <c r="A177" s="2" t="s">
        <v>407</v>
      </c>
      <c r="B177" s="3" t="s">
        <v>408</v>
      </c>
      <c r="C177" s="87" t="s">
        <v>409</v>
      </c>
      <c r="D177" s="84"/>
      <c r="E177" s="3" t="s">
        <v>269</v>
      </c>
      <c r="F177" s="29">
        <v>1206.72</v>
      </c>
      <c r="G177" s="29">
        <v>0</v>
      </c>
      <c r="H177" s="29">
        <f>F177*AO177</f>
        <v>0</v>
      </c>
      <c r="I177" s="29">
        <f>F177*AP177</f>
        <v>0</v>
      </c>
      <c r="J177" s="29">
        <f>F177*G177</f>
        <v>0</v>
      </c>
      <c r="K177" s="30" t="s">
        <v>60</v>
      </c>
      <c r="Z177" s="29">
        <f>IF(AQ177="5",BJ177,0)</f>
        <v>0</v>
      </c>
      <c r="AB177" s="29">
        <f>IF(AQ177="1",BH177,0)</f>
        <v>0</v>
      </c>
      <c r="AC177" s="29">
        <f>IF(AQ177="1",BI177,0)</f>
        <v>0</v>
      </c>
      <c r="AD177" s="29">
        <f>IF(AQ177="7",BH177,0)</f>
        <v>0</v>
      </c>
      <c r="AE177" s="29">
        <f>IF(AQ177="7",BI177,0)</f>
        <v>0</v>
      </c>
      <c r="AF177" s="29">
        <f>IF(AQ177="2",BH177,0)</f>
        <v>0</v>
      </c>
      <c r="AG177" s="29">
        <f>IF(AQ177="2",BI177,0)</f>
        <v>0</v>
      </c>
      <c r="AH177" s="29">
        <f>IF(AQ177="0",BJ177,0)</f>
        <v>0</v>
      </c>
      <c r="AI177" s="11" t="s">
        <v>55</v>
      </c>
      <c r="AJ177" s="29">
        <f>IF(AN177=0,J177,0)</f>
        <v>0</v>
      </c>
      <c r="AK177" s="29">
        <f>IF(AN177=12,J177,0)</f>
        <v>0</v>
      </c>
      <c r="AL177" s="29">
        <f>IF(AN177=21,J177,0)</f>
        <v>0</v>
      </c>
      <c r="AN177" s="29">
        <v>21</v>
      </c>
      <c r="AO177" s="29">
        <f>G177*0</f>
        <v>0</v>
      </c>
      <c r="AP177" s="29">
        <f>G177*(1-0)</f>
        <v>0</v>
      </c>
      <c r="AQ177" s="31" t="s">
        <v>100</v>
      </c>
      <c r="AV177" s="29">
        <f>AW177+AX177</f>
        <v>0</v>
      </c>
      <c r="AW177" s="29">
        <f>F177*AO177</f>
        <v>0</v>
      </c>
      <c r="AX177" s="29">
        <f>F177*AP177</f>
        <v>0</v>
      </c>
      <c r="AY177" s="31" t="s">
        <v>386</v>
      </c>
      <c r="AZ177" s="31" t="s">
        <v>62</v>
      </c>
      <c r="BA177" s="11" t="s">
        <v>63</v>
      </c>
      <c r="BC177" s="29">
        <f>AW177+AX177</f>
        <v>0</v>
      </c>
      <c r="BD177" s="29">
        <f>G177/(100-BE177)*100</f>
        <v>0</v>
      </c>
      <c r="BE177" s="29">
        <v>0</v>
      </c>
      <c r="BF177" s="29">
        <f>177</f>
        <v>177</v>
      </c>
      <c r="BH177" s="29">
        <f>F177*AO177</f>
        <v>0</v>
      </c>
      <c r="BI177" s="29">
        <f>F177*AP177</f>
        <v>0</v>
      </c>
      <c r="BJ177" s="29">
        <f>F177*G177</f>
        <v>0</v>
      </c>
      <c r="BK177" s="29"/>
      <c r="BL177" s="29"/>
      <c r="BW177" s="29">
        <v>21</v>
      </c>
      <c r="BX177" s="5" t="s">
        <v>409</v>
      </c>
    </row>
    <row r="178" spans="1:76" ht="14.4" x14ac:dyDescent="0.3">
      <c r="A178" s="32"/>
      <c r="C178" s="33" t="s">
        <v>410</v>
      </c>
      <c r="D178" s="33" t="s">
        <v>51</v>
      </c>
      <c r="F178" s="34">
        <v>1206.72</v>
      </c>
      <c r="K178" s="35"/>
    </row>
    <row r="179" spans="1:76" ht="14.4" x14ac:dyDescent="0.3">
      <c r="A179" s="2" t="s">
        <v>411</v>
      </c>
      <c r="B179" s="3" t="s">
        <v>412</v>
      </c>
      <c r="C179" s="87" t="s">
        <v>413</v>
      </c>
      <c r="D179" s="84"/>
      <c r="E179" s="3" t="s">
        <v>269</v>
      </c>
      <c r="F179" s="29">
        <v>135.20246</v>
      </c>
      <c r="G179" s="29">
        <v>0</v>
      </c>
      <c r="H179" s="29">
        <f>F179*AO179</f>
        <v>0</v>
      </c>
      <c r="I179" s="29">
        <f>F179*AP179</f>
        <v>0</v>
      </c>
      <c r="J179" s="29">
        <f>F179*G179</f>
        <v>0</v>
      </c>
      <c r="K179" s="30" t="s">
        <v>60</v>
      </c>
      <c r="Z179" s="29">
        <f>IF(AQ179="5",BJ179,0)</f>
        <v>0</v>
      </c>
      <c r="AB179" s="29">
        <f>IF(AQ179="1",BH179,0)</f>
        <v>0</v>
      </c>
      <c r="AC179" s="29">
        <f>IF(AQ179="1",BI179,0)</f>
        <v>0</v>
      </c>
      <c r="AD179" s="29">
        <f>IF(AQ179="7",BH179,0)</f>
        <v>0</v>
      </c>
      <c r="AE179" s="29">
        <f>IF(AQ179="7",BI179,0)</f>
        <v>0</v>
      </c>
      <c r="AF179" s="29">
        <f>IF(AQ179="2",BH179,0)</f>
        <v>0</v>
      </c>
      <c r="AG179" s="29">
        <f>IF(AQ179="2",BI179,0)</f>
        <v>0</v>
      </c>
      <c r="AH179" s="29">
        <f>IF(AQ179="0",BJ179,0)</f>
        <v>0</v>
      </c>
      <c r="AI179" s="11" t="s">
        <v>55</v>
      </c>
      <c r="AJ179" s="29">
        <f>IF(AN179=0,J179,0)</f>
        <v>0</v>
      </c>
      <c r="AK179" s="29">
        <f>IF(AN179=12,J179,0)</f>
        <v>0</v>
      </c>
      <c r="AL179" s="29">
        <f>IF(AN179=21,J179,0)</f>
        <v>0</v>
      </c>
      <c r="AN179" s="29">
        <v>21</v>
      </c>
      <c r="AO179" s="29">
        <f>G179*0</f>
        <v>0</v>
      </c>
      <c r="AP179" s="29">
        <f>G179*(1-0)</f>
        <v>0</v>
      </c>
      <c r="AQ179" s="31" t="s">
        <v>100</v>
      </c>
      <c r="AV179" s="29">
        <f>AW179+AX179</f>
        <v>0</v>
      </c>
      <c r="AW179" s="29">
        <f>F179*AO179</f>
        <v>0</v>
      </c>
      <c r="AX179" s="29">
        <f>F179*AP179</f>
        <v>0</v>
      </c>
      <c r="AY179" s="31" t="s">
        <v>386</v>
      </c>
      <c r="AZ179" s="31" t="s">
        <v>62</v>
      </c>
      <c r="BA179" s="11" t="s">
        <v>63</v>
      </c>
      <c r="BC179" s="29">
        <f>AW179+AX179</f>
        <v>0</v>
      </c>
      <c r="BD179" s="29">
        <f>G179/(100-BE179)*100</f>
        <v>0</v>
      </c>
      <c r="BE179" s="29">
        <v>0</v>
      </c>
      <c r="BF179" s="29">
        <f>179</f>
        <v>179</v>
      </c>
      <c r="BH179" s="29">
        <f>F179*AO179</f>
        <v>0</v>
      </c>
      <c r="BI179" s="29">
        <f>F179*AP179</f>
        <v>0</v>
      </c>
      <c r="BJ179" s="29">
        <f>F179*G179</f>
        <v>0</v>
      </c>
      <c r="BK179" s="29"/>
      <c r="BL179" s="29"/>
      <c r="BW179" s="29">
        <v>21</v>
      </c>
      <c r="BX179" s="5" t="s">
        <v>413</v>
      </c>
    </row>
    <row r="180" spans="1:76" ht="14.4" x14ac:dyDescent="0.3">
      <c r="A180" s="32"/>
      <c r="C180" s="33" t="s">
        <v>414</v>
      </c>
      <c r="D180" s="33" t="s">
        <v>142</v>
      </c>
      <c r="F180" s="34">
        <v>25.0641</v>
      </c>
      <c r="K180" s="35"/>
    </row>
    <row r="181" spans="1:76" ht="14.4" x14ac:dyDescent="0.3">
      <c r="A181" s="32"/>
      <c r="C181" s="33" t="s">
        <v>415</v>
      </c>
      <c r="D181" s="33" t="s">
        <v>144</v>
      </c>
      <c r="F181" s="34">
        <v>57.36206</v>
      </c>
      <c r="K181" s="35"/>
    </row>
    <row r="182" spans="1:76" ht="14.4" x14ac:dyDescent="0.3">
      <c r="A182" s="32"/>
      <c r="C182" s="33" t="s">
        <v>416</v>
      </c>
      <c r="D182" s="33" t="s">
        <v>51</v>
      </c>
      <c r="F182" s="34">
        <v>52.776299999999999</v>
      </c>
      <c r="K182" s="35"/>
    </row>
    <row r="183" spans="1:76" ht="14.4" x14ac:dyDescent="0.3">
      <c r="A183" s="2" t="s">
        <v>162</v>
      </c>
      <c r="B183" s="3" t="s">
        <v>417</v>
      </c>
      <c r="C183" s="87" t="s">
        <v>418</v>
      </c>
      <c r="D183" s="84"/>
      <c r="E183" s="3" t="s">
        <v>269</v>
      </c>
      <c r="F183" s="29">
        <v>105.01</v>
      </c>
      <c r="G183" s="29">
        <v>0</v>
      </c>
      <c r="H183" s="29">
        <f>F183*AO183</f>
        <v>0</v>
      </c>
      <c r="I183" s="29">
        <f>F183*AP183</f>
        <v>0</v>
      </c>
      <c r="J183" s="29">
        <f>F183*G183</f>
        <v>0</v>
      </c>
      <c r="K183" s="30" t="s">
        <v>351</v>
      </c>
      <c r="Z183" s="29">
        <f>IF(AQ183="5",BJ183,0)</f>
        <v>0</v>
      </c>
      <c r="AB183" s="29">
        <f>IF(AQ183="1",BH183,0)</f>
        <v>0</v>
      </c>
      <c r="AC183" s="29">
        <f>IF(AQ183="1",BI183,0)</f>
        <v>0</v>
      </c>
      <c r="AD183" s="29">
        <f>IF(AQ183="7",BH183,0)</f>
        <v>0</v>
      </c>
      <c r="AE183" s="29">
        <f>IF(AQ183="7",BI183,0)</f>
        <v>0</v>
      </c>
      <c r="AF183" s="29">
        <f>IF(AQ183="2",BH183,0)</f>
        <v>0</v>
      </c>
      <c r="AG183" s="29">
        <f>IF(AQ183="2",BI183,0)</f>
        <v>0</v>
      </c>
      <c r="AH183" s="29">
        <f>IF(AQ183="0",BJ183,0)</f>
        <v>0</v>
      </c>
      <c r="AI183" s="11" t="s">
        <v>55</v>
      </c>
      <c r="AJ183" s="29">
        <f>IF(AN183=0,J183,0)</f>
        <v>0</v>
      </c>
      <c r="AK183" s="29">
        <f>IF(AN183=12,J183,0)</f>
        <v>0</v>
      </c>
      <c r="AL183" s="29">
        <f>IF(AN183=21,J183,0)</f>
        <v>0</v>
      </c>
      <c r="AN183" s="29">
        <v>21</v>
      </c>
      <c r="AO183" s="29">
        <f>G183*0</f>
        <v>0</v>
      </c>
      <c r="AP183" s="29">
        <f>G183*(1-0)</f>
        <v>0</v>
      </c>
      <c r="AQ183" s="31" t="s">
        <v>100</v>
      </c>
      <c r="AV183" s="29">
        <f>AW183+AX183</f>
        <v>0</v>
      </c>
      <c r="AW183" s="29">
        <f>F183*AO183</f>
        <v>0</v>
      </c>
      <c r="AX183" s="29">
        <f>F183*AP183</f>
        <v>0</v>
      </c>
      <c r="AY183" s="31" t="s">
        <v>386</v>
      </c>
      <c r="AZ183" s="31" t="s">
        <v>62</v>
      </c>
      <c r="BA183" s="11" t="s">
        <v>63</v>
      </c>
      <c r="BC183" s="29">
        <f>AW183+AX183</f>
        <v>0</v>
      </c>
      <c r="BD183" s="29">
        <f>G183/(100-BE183)*100</f>
        <v>0</v>
      </c>
      <c r="BE183" s="29">
        <v>0</v>
      </c>
      <c r="BF183" s="29">
        <f>183</f>
        <v>183</v>
      </c>
      <c r="BH183" s="29">
        <f>F183*AO183</f>
        <v>0</v>
      </c>
      <c r="BI183" s="29">
        <f>F183*AP183</f>
        <v>0</v>
      </c>
      <c r="BJ183" s="29">
        <f>F183*G183</f>
        <v>0</v>
      </c>
      <c r="BK183" s="29"/>
      <c r="BL183" s="29"/>
      <c r="BW183" s="29">
        <v>21</v>
      </c>
      <c r="BX183" s="5" t="s">
        <v>418</v>
      </c>
    </row>
    <row r="184" spans="1:76" ht="14.4" x14ac:dyDescent="0.3">
      <c r="A184" s="32"/>
      <c r="C184" s="33" t="s">
        <v>419</v>
      </c>
      <c r="D184" s="33" t="s">
        <v>420</v>
      </c>
      <c r="F184" s="34">
        <v>94.43</v>
      </c>
      <c r="K184" s="35"/>
    </row>
    <row r="185" spans="1:76" ht="14.4" x14ac:dyDescent="0.3">
      <c r="A185" s="32"/>
      <c r="C185" s="33" t="s">
        <v>391</v>
      </c>
      <c r="D185" s="33" t="s">
        <v>392</v>
      </c>
      <c r="F185" s="34">
        <v>0.49</v>
      </c>
      <c r="K185" s="35"/>
    </row>
    <row r="186" spans="1:76" ht="14.4" x14ac:dyDescent="0.3">
      <c r="A186" s="32"/>
      <c r="C186" s="33" t="s">
        <v>389</v>
      </c>
      <c r="D186" s="33" t="s">
        <v>390</v>
      </c>
      <c r="F186" s="34">
        <v>8.07</v>
      </c>
      <c r="K186" s="35"/>
    </row>
    <row r="187" spans="1:76" ht="14.4" x14ac:dyDescent="0.3">
      <c r="A187" s="32"/>
      <c r="C187" s="33" t="s">
        <v>387</v>
      </c>
      <c r="D187" s="33" t="s">
        <v>388</v>
      </c>
      <c r="F187" s="34">
        <v>2.02</v>
      </c>
      <c r="K187" s="35"/>
    </row>
    <row r="188" spans="1:76" ht="14.4" x14ac:dyDescent="0.3">
      <c r="A188" s="2" t="s">
        <v>421</v>
      </c>
      <c r="B188" s="3" t="s">
        <v>422</v>
      </c>
      <c r="C188" s="87" t="s">
        <v>423</v>
      </c>
      <c r="D188" s="84"/>
      <c r="E188" s="3" t="s">
        <v>269</v>
      </c>
      <c r="F188" s="29">
        <v>7.87</v>
      </c>
      <c r="G188" s="29">
        <v>0</v>
      </c>
      <c r="H188" s="29">
        <f>F188*AO188</f>
        <v>0</v>
      </c>
      <c r="I188" s="29">
        <f>F188*AP188</f>
        <v>0</v>
      </c>
      <c r="J188" s="29">
        <f>F188*G188</f>
        <v>0</v>
      </c>
      <c r="K188" s="30" t="s">
        <v>60</v>
      </c>
      <c r="Z188" s="29">
        <f>IF(AQ188="5",BJ188,0)</f>
        <v>0</v>
      </c>
      <c r="AB188" s="29">
        <f>IF(AQ188="1",BH188,0)</f>
        <v>0</v>
      </c>
      <c r="AC188" s="29">
        <f>IF(AQ188="1",BI188,0)</f>
        <v>0</v>
      </c>
      <c r="AD188" s="29">
        <f>IF(AQ188="7",BH188,0)</f>
        <v>0</v>
      </c>
      <c r="AE188" s="29">
        <f>IF(AQ188="7",BI188,0)</f>
        <v>0</v>
      </c>
      <c r="AF188" s="29">
        <f>IF(AQ188="2",BH188,0)</f>
        <v>0</v>
      </c>
      <c r="AG188" s="29">
        <f>IF(AQ188="2",BI188,0)</f>
        <v>0</v>
      </c>
      <c r="AH188" s="29">
        <f>IF(AQ188="0",BJ188,0)</f>
        <v>0</v>
      </c>
      <c r="AI188" s="11" t="s">
        <v>55</v>
      </c>
      <c r="AJ188" s="29">
        <f>IF(AN188=0,J188,0)</f>
        <v>0</v>
      </c>
      <c r="AK188" s="29">
        <f>IF(AN188=12,J188,0)</f>
        <v>0</v>
      </c>
      <c r="AL188" s="29">
        <f>IF(AN188=21,J188,0)</f>
        <v>0</v>
      </c>
      <c r="AN188" s="29">
        <v>21</v>
      </c>
      <c r="AO188" s="29">
        <f>G188*0</f>
        <v>0</v>
      </c>
      <c r="AP188" s="29">
        <f>G188*(1-0)</f>
        <v>0</v>
      </c>
      <c r="AQ188" s="31" t="s">
        <v>100</v>
      </c>
      <c r="AV188" s="29">
        <f>AW188+AX188</f>
        <v>0</v>
      </c>
      <c r="AW188" s="29">
        <f>F188*AO188</f>
        <v>0</v>
      </c>
      <c r="AX188" s="29">
        <f>F188*AP188</f>
        <v>0</v>
      </c>
      <c r="AY188" s="31" t="s">
        <v>386</v>
      </c>
      <c r="AZ188" s="31" t="s">
        <v>62</v>
      </c>
      <c r="BA188" s="11" t="s">
        <v>63</v>
      </c>
      <c r="BC188" s="29">
        <f>AW188+AX188</f>
        <v>0</v>
      </c>
      <c r="BD188" s="29">
        <f>G188/(100-BE188)*100</f>
        <v>0</v>
      </c>
      <c r="BE188" s="29">
        <v>0</v>
      </c>
      <c r="BF188" s="29">
        <f>188</f>
        <v>188</v>
      </c>
      <c r="BH188" s="29">
        <f>F188*AO188</f>
        <v>0</v>
      </c>
      <c r="BI188" s="29">
        <f>F188*AP188</f>
        <v>0</v>
      </c>
      <c r="BJ188" s="29">
        <f>F188*G188</f>
        <v>0</v>
      </c>
      <c r="BK188" s="29"/>
      <c r="BL188" s="29"/>
      <c r="BW188" s="29">
        <v>21</v>
      </c>
      <c r="BX188" s="5" t="s">
        <v>423</v>
      </c>
    </row>
    <row r="189" spans="1:76" ht="14.4" x14ac:dyDescent="0.3">
      <c r="A189" s="32"/>
      <c r="C189" s="33" t="s">
        <v>399</v>
      </c>
      <c r="D189" s="33" t="s">
        <v>400</v>
      </c>
      <c r="F189" s="34">
        <v>7.87</v>
      </c>
      <c r="K189" s="35"/>
    </row>
    <row r="190" spans="1:76" ht="14.4" x14ac:dyDescent="0.3">
      <c r="A190" s="2" t="s">
        <v>424</v>
      </c>
      <c r="B190" s="3" t="s">
        <v>425</v>
      </c>
      <c r="C190" s="87" t="s">
        <v>426</v>
      </c>
      <c r="D190" s="84"/>
      <c r="E190" s="3" t="s">
        <v>269</v>
      </c>
      <c r="F190" s="29">
        <v>0.56000000000000005</v>
      </c>
      <c r="G190" s="29">
        <v>0</v>
      </c>
      <c r="H190" s="29">
        <f>F190*AO190</f>
        <v>0</v>
      </c>
      <c r="I190" s="29">
        <f>F190*AP190</f>
        <v>0</v>
      </c>
      <c r="J190" s="29">
        <f>F190*G190</f>
        <v>0</v>
      </c>
      <c r="K190" s="30" t="s">
        <v>60</v>
      </c>
      <c r="Z190" s="29">
        <f>IF(AQ190="5",BJ190,0)</f>
        <v>0</v>
      </c>
      <c r="AB190" s="29">
        <f>IF(AQ190="1",BH190,0)</f>
        <v>0</v>
      </c>
      <c r="AC190" s="29">
        <f>IF(AQ190="1",BI190,0)</f>
        <v>0</v>
      </c>
      <c r="AD190" s="29">
        <f>IF(AQ190="7",BH190,0)</f>
        <v>0</v>
      </c>
      <c r="AE190" s="29">
        <f>IF(AQ190="7",BI190,0)</f>
        <v>0</v>
      </c>
      <c r="AF190" s="29">
        <f>IF(AQ190="2",BH190,0)</f>
        <v>0</v>
      </c>
      <c r="AG190" s="29">
        <f>IF(AQ190="2",BI190,0)</f>
        <v>0</v>
      </c>
      <c r="AH190" s="29">
        <f>IF(AQ190="0",BJ190,0)</f>
        <v>0</v>
      </c>
      <c r="AI190" s="11" t="s">
        <v>55</v>
      </c>
      <c r="AJ190" s="29">
        <f>IF(AN190=0,J190,0)</f>
        <v>0</v>
      </c>
      <c r="AK190" s="29">
        <f>IF(AN190=12,J190,0)</f>
        <v>0</v>
      </c>
      <c r="AL190" s="29">
        <f>IF(AN190=21,J190,0)</f>
        <v>0</v>
      </c>
      <c r="AN190" s="29">
        <v>21</v>
      </c>
      <c r="AO190" s="29">
        <f>G190*0</f>
        <v>0</v>
      </c>
      <c r="AP190" s="29">
        <f>G190*(1-0)</f>
        <v>0</v>
      </c>
      <c r="AQ190" s="31" t="s">
        <v>100</v>
      </c>
      <c r="AV190" s="29">
        <f>AW190+AX190</f>
        <v>0</v>
      </c>
      <c r="AW190" s="29">
        <f>F190*AO190</f>
        <v>0</v>
      </c>
      <c r="AX190" s="29">
        <f>F190*AP190</f>
        <v>0</v>
      </c>
      <c r="AY190" s="31" t="s">
        <v>386</v>
      </c>
      <c r="AZ190" s="31" t="s">
        <v>62</v>
      </c>
      <c r="BA190" s="11" t="s">
        <v>63</v>
      </c>
      <c r="BC190" s="29">
        <f>AW190+AX190</f>
        <v>0</v>
      </c>
      <c r="BD190" s="29">
        <f>G190/(100-BE190)*100</f>
        <v>0</v>
      </c>
      <c r="BE190" s="29">
        <v>0</v>
      </c>
      <c r="BF190" s="29">
        <f>190</f>
        <v>190</v>
      </c>
      <c r="BH190" s="29">
        <f>F190*AO190</f>
        <v>0</v>
      </c>
      <c r="BI190" s="29">
        <f>F190*AP190</f>
        <v>0</v>
      </c>
      <c r="BJ190" s="29">
        <f>F190*G190</f>
        <v>0</v>
      </c>
      <c r="BK190" s="29"/>
      <c r="BL190" s="29"/>
      <c r="BW190" s="29">
        <v>21</v>
      </c>
      <c r="BX190" s="5" t="s">
        <v>426</v>
      </c>
    </row>
    <row r="191" spans="1:76" ht="14.4" x14ac:dyDescent="0.3">
      <c r="A191" s="32"/>
      <c r="C191" s="33" t="s">
        <v>395</v>
      </c>
      <c r="D191" s="33" t="s">
        <v>427</v>
      </c>
      <c r="F191" s="34">
        <v>0.56000000000000005</v>
      </c>
      <c r="K191" s="35"/>
    </row>
    <row r="192" spans="1:76" ht="14.4" x14ac:dyDescent="0.3">
      <c r="A192" s="2" t="s">
        <v>428</v>
      </c>
      <c r="B192" s="3" t="s">
        <v>429</v>
      </c>
      <c r="C192" s="87" t="s">
        <v>430</v>
      </c>
      <c r="D192" s="84"/>
      <c r="E192" s="3" t="s">
        <v>269</v>
      </c>
      <c r="F192" s="29">
        <v>17.940000000000001</v>
      </c>
      <c r="G192" s="29">
        <v>0</v>
      </c>
      <c r="H192" s="29">
        <f>F192*AO192</f>
        <v>0</v>
      </c>
      <c r="I192" s="29">
        <f>F192*AP192</f>
        <v>0</v>
      </c>
      <c r="J192" s="29">
        <f>F192*G192</f>
        <v>0</v>
      </c>
      <c r="K192" s="30" t="s">
        <v>60</v>
      </c>
      <c r="Z192" s="29">
        <f>IF(AQ192="5",BJ192,0)</f>
        <v>0</v>
      </c>
      <c r="AB192" s="29">
        <f>IF(AQ192="1",BH192,0)</f>
        <v>0</v>
      </c>
      <c r="AC192" s="29">
        <f>IF(AQ192="1",BI192,0)</f>
        <v>0</v>
      </c>
      <c r="AD192" s="29">
        <f>IF(AQ192="7",BH192,0)</f>
        <v>0</v>
      </c>
      <c r="AE192" s="29">
        <f>IF(AQ192="7",BI192,0)</f>
        <v>0</v>
      </c>
      <c r="AF192" s="29">
        <f>IF(AQ192="2",BH192,0)</f>
        <v>0</v>
      </c>
      <c r="AG192" s="29">
        <f>IF(AQ192="2",BI192,0)</f>
        <v>0</v>
      </c>
      <c r="AH192" s="29">
        <f>IF(AQ192="0",BJ192,0)</f>
        <v>0</v>
      </c>
      <c r="AI192" s="11" t="s">
        <v>55</v>
      </c>
      <c r="AJ192" s="29">
        <f>IF(AN192=0,J192,0)</f>
        <v>0</v>
      </c>
      <c r="AK192" s="29">
        <f>IF(AN192=12,J192,0)</f>
        <v>0</v>
      </c>
      <c r="AL192" s="29">
        <f>IF(AN192=21,J192,0)</f>
        <v>0</v>
      </c>
      <c r="AN192" s="29">
        <v>21</v>
      </c>
      <c r="AO192" s="29">
        <f>G192*0</f>
        <v>0</v>
      </c>
      <c r="AP192" s="29">
        <f>G192*(1-0)</f>
        <v>0</v>
      </c>
      <c r="AQ192" s="31" t="s">
        <v>100</v>
      </c>
      <c r="AV192" s="29">
        <f>AW192+AX192</f>
        <v>0</v>
      </c>
      <c r="AW192" s="29">
        <f>F192*AO192</f>
        <v>0</v>
      </c>
      <c r="AX192" s="29">
        <f>F192*AP192</f>
        <v>0</v>
      </c>
      <c r="AY192" s="31" t="s">
        <v>386</v>
      </c>
      <c r="AZ192" s="31" t="s">
        <v>62</v>
      </c>
      <c r="BA192" s="11" t="s">
        <v>63</v>
      </c>
      <c r="BC192" s="29">
        <f>AW192+AX192</f>
        <v>0</v>
      </c>
      <c r="BD192" s="29">
        <f>G192/(100-BE192)*100</f>
        <v>0</v>
      </c>
      <c r="BE192" s="29">
        <v>0</v>
      </c>
      <c r="BF192" s="29">
        <f>192</f>
        <v>192</v>
      </c>
      <c r="BH192" s="29">
        <f>F192*AO192</f>
        <v>0</v>
      </c>
      <c r="BI192" s="29">
        <f>F192*AP192</f>
        <v>0</v>
      </c>
      <c r="BJ192" s="29">
        <f>F192*G192</f>
        <v>0</v>
      </c>
      <c r="BK192" s="29"/>
      <c r="BL192" s="29"/>
      <c r="BW192" s="29">
        <v>21</v>
      </c>
      <c r="BX192" s="5" t="s">
        <v>430</v>
      </c>
    </row>
    <row r="193" spans="1:76" ht="14.4" x14ac:dyDescent="0.3">
      <c r="A193" s="32"/>
      <c r="C193" s="33" t="s">
        <v>397</v>
      </c>
      <c r="D193" s="33" t="s">
        <v>51</v>
      </c>
      <c r="F193" s="34">
        <v>17.940000000000001</v>
      </c>
      <c r="K193" s="35"/>
    </row>
    <row r="194" spans="1:76" ht="14.4" x14ac:dyDescent="0.3">
      <c r="A194" s="25" t="s">
        <v>51</v>
      </c>
      <c r="B194" s="26" t="s">
        <v>51</v>
      </c>
      <c r="C194" s="143" t="s">
        <v>431</v>
      </c>
      <c r="D194" s="144"/>
      <c r="E194" s="27" t="s">
        <v>4</v>
      </c>
      <c r="F194" s="27" t="s">
        <v>4</v>
      </c>
      <c r="G194" s="27" t="s">
        <v>4</v>
      </c>
      <c r="H194" s="1">
        <f>H195+H234+H239+H244+H251+H254+H296+H309+H317+H340+H384+H402+H404+H435+H444+H447+H454+H470+H488+H497+H502+H552+H577+H598+H603</f>
        <v>0</v>
      </c>
      <c r="I194" s="1">
        <f>I195+I234+I239+I244+I251+I254+I296+I309+I317+I340+I384+I402+I404+I435+I444+I447+I454+I470+I488+I497+I502+I552+I577+I598+I603</f>
        <v>0</v>
      </c>
      <c r="J194" s="1">
        <f>J195+J234+J239+J244+J251+J254+J296+J309+J317+J340+J384+J402+J404+J435+J444+J447+J454+J470+J488+J497+J502+J552+J577+J598+J603</f>
        <v>0</v>
      </c>
      <c r="K194" s="28" t="s">
        <v>51</v>
      </c>
    </row>
    <row r="195" spans="1:76" ht="14.4" x14ac:dyDescent="0.3">
      <c r="A195" s="25" t="s">
        <v>51</v>
      </c>
      <c r="B195" s="26" t="s">
        <v>411</v>
      </c>
      <c r="C195" s="143" t="s">
        <v>432</v>
      </c>
      <c r="D195" s="144"/>
      <c r="E195" s="27" t="s">
        <v>4</v>
      </c>
      <c r="F195" s="27" t="s">
        <v>4</v>
      </c>
      <c r="G195" s="27" t="s">
        <v>4</v>
      </c>
      <c r="H195" s="1">
        <f>SUM(H196:H222)</f>
        <v>0</v>
      </c>
      <c r="I195" s="1">
        <f>SUM(I196:I222)</f>
        <v>0</v>
      </c>
      <c r="J195" s="1">
        <f>SUM(J196:J222)</f>
        <v>0</v>
      </c>
      <c r="K195" s="28" t="s">
        <v>51</v>
      </c>
      <c r="AI195" s="11" t="s">
        <v>433</v>
      </c>
      <c r="AS195" s="1">
        <f>SUM(AJ196:AJ222)</f>
        <v>0</v>
      </c>
      <c r="AT195" s="1">
        <f>SUM(AK196:AK222)</f>
        <v>0</v>
      </c>
      <c r="AU195" s="1">
        <f>SUM(AL196:AL222)</f>
        <v>0</v>
      </c>
    </row>
    <row r="196" spans="1:76" ht="14.4" x14ac:dyDescent="0.3">
      <c r="A196" s="2" t="s">
        <v>434</v>
      </c>
      <c r="B196" s="3" t="s">
        <v>435</v>
      </c>
      <c r="C196" s="87" t="s">
        <v>436</v>
      </c>
      <c r="D196" s="84"/>
      <c r="E196" s="3" t="s">
        <v>59</v>
      </c>
      <c r="F196" s="29">
        <v>128.69999999999999</v>
      </c>
      <c r="G196" s="29">
        <v>0</v>
      </c>
      <c r="H196" s="29">
        <f>F196*AO196</f>
        <v>0</v>
      </c>
      <c r="I196" s="29">
        <f>F196*AP196</f>
        <v>0</v>
      </c>
      <c r="J196" s="29">
        <f>F196*G196</f>
        <v>0</v>
      </c>
      <c r="K196" s="30" t="s">
        <v>60</v>
      </c>
      <c r="Z196" s="29">
        <f>IF(AQ196="5",BJ196,0)</f>
        <v>0</v>
      </c>
      <c r="AB196" s="29">
        <f>IF(AQ196="1",BH196,0)</f>
        <v>0</v>
      </c>
      <c r="AC196" s="29">
        <f>IF(AQ196="1",BI196,0)</f>
        <v>0</v>
      </c>
      <c r="AD196" s="29">
        <f>IF(AQ196="7",BH196,0)</f>
        <v>0</v>
      </c>
      <c r="AE196" s="29">
        <f>IF(AQ196="7",BI196,0)</f>
        <v>0</v>
      </c>
      <c r="AF196" s="29">
        <f>IF(AQ196="2",BH196,0)</f>
        <v>0</v>
      </c>
      <c r="AG196" s="29">
        <f>IF(AQ196="2",BI196,0)</f>
        <v>0</v>
      </c>
      <c r="AH196" s="29">
        <f>IF(AQ196="0",BJ196,0)</f>
        <v>0</v>
      </c>
      <c r="AI196" s="11" t="s">
        <v>433</v>
      </c>
      <c r="AJ196" s="29">
        <f>IF(AN196=0,J196,0)</f>
        <v>0</v>
      </c>
      <c r="AK196" s="29">
        <f>IF(AN196=12,J196,0)</f>
        <v>0</v>
      </c>
      <c r="AL196" s="29">
        <f>IF(AN196=21,J196,0)</f>
        <v>0</v>
      </c>
      <c r="AN196" s="29">
        <v>21</v>
      </c>
      <c r="AO196" s="29">
        <f>G196*0.312807375</f>
        <v>0</v>
      </c>
      <c r="AP196" s="29">
        <f>G196*(1-0.312807375)</f>
        <v>0</v>
      </c>
      <c r="AQ196" s="31" t="s">
        <v>56</v>
      </c>
      <c r="AV196" s="29">
        <f>AW196+AX196</f>
        <v>0</v>
      </c>
      <c r="AW196" s="29">
        <f>F196*AO196</f>
        <v>0</v>
      </c>
      <c r="AX196" s="29">
        <f>F196*AP196</f>
        <v>0</v>
      </c>
      <c r="AY196" s="31" t="s">
        <v>437</v>
      </c>
      <c r="AZ196" s="31" t="s">
        <v>438</v>
      </c>
      <c r="BA196" s="11" t="s">
        <v>439</v>
      </c>
      <c r="BC196" s="29">
        <f>AW196+AX196</f>
        <v>0</v>
      </c>
      <c r="BD196" s="29">
        <f>G196/(100-BE196)*100</f>
        <v>0</v>
      </c>
      <c r="BE196" s="29">
        <v>0</v>
      </c>
      <c r="BF196" s="29">
        <f>196</f>
        <v>196</v>
      </c>
      <c r="BH196" s="29">
        <f>F196*AO196</f>
        <v>0</v>
      </c>
      <c r="BI196" s="29">
        <f>F196*AP196</f>
        <v>0</v>
      </c>
      <c r="BJ196" s="29">
        <f>F196*G196</f>
        <v>0</v>
      </c>
      <c r="BK196" s="29"/>
      <c r="BL196" s="29">
        <v>61</v>
      </c>
      <c r="BW196" s="29">
        <v>21</v>
      </c>
      <c r="BX196" s="5" t="s">
        <v>436</v>
      </c>
    </row>
    <row r="197" spans="1:76" ht="14.4" x14ac:dyDescent="0.3">
      <c r="A197" s="32"/>
      <c r="C197" s="33" t="s">
        <v>440</v>
      </c>
      <c r="D197" s="33" t="s">
        <v>441</v>
      </c>
      <c r="F197" s="34">
        <v>119.7</v>
      </c>
      <c r="K197" s="35"/>
    </row>
    <row r="198" spans="1:76" ht="14.4" x14ac:dyDescent="0.3">
      <c r="A198" s="32"/>
      <c r="C198" s="33" t="s">
        <v>442</v>
      </c>
      <c r="D198" s="33" t="s">
        <v>427</v>
      </c>
      <c r="F198" s="34">
        <v>9</v>
      </c>
      <c r="K198" s="35"/>
    </row>
    <row r="199" spans="1:76" ht="14.4" x14ac:dyDescent="0.3">
      <c r="A199" s="2" t="s">
        <v>443</v>
      </c>
      <c r="B199" s="3" t="s">
        <v>444</v>
      </c>
      <c r="C199" s="87" t="s">
        <v>445</v>
      </c>
      <c r="D199" s="84"/>
      <c r="E199" s="3" t="s">
        <v>73</v>
      </c>
      <c r="F199" s="29">
        <v>63</v>
      </c>
      <c r="G199" s="29">
        <v>0</v>
      </c>
      <c r="H199" s="29">
        <f>F199*AO199</f>
        <v>0</v>
      </c>
      <c r="I199" s="29">
        <f>F199*AP199</f>
        <v>0</v>
      </c>
      <c r="J199" s="29">
        <f>F199*G199</f>
        <v>0</v>
      </c>
      <c r="K199" s="30" t="s">
        <v>60</v>
      </c>
      <c r="Z199" s="29">
        <f>IF(AQ199="5",BJ199,0)</f>
        <v>0</v>
      </c>
      <c r="AB199" s="29">
        <f>IF(AQ199="1",BH199,0)</f>
        <v>0</v>
      </c>
      <c r="AC199" s="29">
        <f>IF(AQ199="1",BI199,0)</f>
        <v>0</v>
      </c>
      <c r="AD199" s="29">
        <f>IF(AQ199="7",BH199,0)</f>
        <v>0</v>
      </c>
      <c r="AE199" s="29">
        <f>IF(AQ199="7",BI199,0)</f>
        <v>0</v>
      </c>
      <c r="AF199" s="29">
        <f>IF(AQ199="2",BH199,0)</f>
        <v>0</v>
      </c>
      <c r="AG199" s="29">
        <f>IF(AQ199="2",BI199,0)</f>
        <v>0</v>
      </c>
      <c r="AH199" s="29">
        <f>IF(AQ199="0",BJ199,0)</f>
        <v>0</v>
      </c>
      <c r="AI199" s="11" t="s">
        <v>433</v>
      </c>
      <c r="AJ199" s="29">
        <f>IF(AN199=0,J199,0)</f>
        <v>0</v>
      </c>
      <c r="AK199" s="29">
        <f>IF(AN199=12,J199,0)</f>
        <v>0</v>
      </c>
      <c r="AL199" s="29">
        <f>IF(AN199=21,J199,0)</f>
        <v>0</v>
      </c>
      <c r="AN199" s="29">
        <v>21</v>
      </c>
      <c r="AO199" s="29">
        <f>G199*0.231636364</f>
        <v>0</v>
      </c>
      <c r="AP199" s="29">
        <f>G199*(1-0.231636364)</f>
        <v>0</v>
      </c>
      <c r="AQ199" s="31" t="s">
        <v>56</v>
      </c>
      <c r="AV199" s="29">
        <f>AW199+AX199</f>
        <v>0</v>
      </c>
      <c r="AW199" s="29">
        <f>F199*AO199</f>
        <v>0</v>
      </c>
      <c r="AX199" s="29">
        <f>F199*AP199</f>
        <v>0</v>
      </c>
      <c r="AY199" s="31" t="s">
        <v>437</v>
      </c>
      <c r="AZ199" s="31" t="s">
        <v>438</v>
      </c>
      <c r="BA199" s="11" t="s">
        <v>439</v>
      </c>
      <c r="BC199" s="29">
        <f>AW199+AX199</f>
        <v>0</v>
      </c>
      <c r="BD199" s="29">
        <f>G199/(100-BE199)*100</f>
        <v>0</v>
      </c>
      <c r="BE199" s="29">
        <v>0</v>
      </c>
      <c r="BF199" s="29">
        <f>199</f>
        <v>199</v>
      </c>
      <c r="BH199" s="29">
        <f>F199*AO199</f>
        <v>0</v>
      </c>
      <c r="BI199" s="29">
        <f>F199*AP199</f>
        <v>0</v>
      </c>
      <c r="BJ199" s="29">
        <f>F199*G199</f>
        <v>0</v>
      </c>
      <c r="BK199" s="29"/>
      <c r="BL199" s="29">
        <v>61</v>
      </c>
      <c r="BW199" s="29">
        <v>21</v>
      </c>
      <c r="BX199" s="5" t="s">
        <v>445</v>
      </c>
    </row>
    <row r="200" spans="1:76" ht="14.4" x14ac:dyDescent="0.3">
      <c r="A200" s="32"/>
      <c r="C200" s="33" t="s">
        <v>446</v>
      </c>
      <c r="D200" s="33" t="s">
        <v>447</v>
      </c>
      <c r="F200" s="34">
        <v>63</v>
      </c>
      <c r="K200" s="35"/>
    </row>
    <row r="201" spans="1:76" ht="14.4" x14ac:dyDescent="0.3">
      <c r="A201" s="2" t="s">
        <v>448</v>
      </c>
      <c r="B201" s="3" t="s">
        <v>449</v>
      </c>
      <c r="C201" s="87" t="s">
        <v>450</v>
      </c>
      <c r="D201" s="84"/>
      <c r="E201" s="3" t="s">
        <v>59</v>
      </c>
      <c r="F201" s="29">
        <v>60.39</v>
      </c>
      <c r="G201" s="29">
        <v>0</v>
      </c>
      <c r="H201" s="29">
        <f>F201*AO201</f>
        <v>0</v>
      </c>
      <c r="I201" s="29">
        <f>F201*AP201</f>
        <v>0</v>
      </c>
      <c r="J201" s="29">
        <f>F201*G201</f>
        <v>0</v>
      </c>
      <c r="K201" s="30" t="s">
        <v>60</v>
      </c>
      <c r="Z201" s="29">
        <f>IF(AQ201="5",BJ201,0)</f>
        <v>0</v>
      </c>
      <c r="AB201" s="29">
        <f>IF(AQ201="1",BH201,0)</f>
        <v>0</v>
      </c>
      <c r="AC201" s="29">
        <f>IF(AQ201="1",BI201,0)</f>
        <v>0</v>
      </c>
      <c r="AD201" s="29">
        <f>IF(AQ201="7",BH201,0)</f>
        <v>0</v>
      </c>
      <c r="AE201" s="29">
        <f>IF(AQ201="7",BI201,0)</f>
        <v>0</v>
      </c>
      <c r="AF201" s="29">
        <f>IF(AQ201="2",BH201,0)</f>
        <v>0</v>
      </c>
      <c r="AG201" s="29">
        <f>IF(AQ201="2",BI201,0)</f>
        <v>0</v>
      </c>
      <c r="AH201" s="29">
        <f>IF(AQ201="0",BJ201,0)</f>
        <v>0</v>
      </c>
      <c r="AI201" s="11" t="s">
        <v>433</v>
      </c>
      <c r="AJ201" s="29">
        <f>IF(AN201=0,J201,0)</f>
        <v>0</v>
      </c>
      <c r="AK201" s="29">
        <f>IF(AN201=12,J201,0)</f>
        <v>0</v>
      </c>
      <c r="AL201" s="29">
        <f>IF(AN201=21,J201,0)</f>
        <v>0</v>
      </c>
      <c r="AN201" s="29">
        <v>21</v>
      </c>
      <c r="AO201" s="29">
        <f>G201*0.208499878</f>
        <v>0</v>
      </c>
      <c r="AP201" s="29">
        <f>G201*(1-0.208499878)</f>
        <v>0</v>
      </c>
      <c r="AQ201" s="31" t="s">
        <v>56</v>
      </c>
      <c r="AV201" s="29">
        <f>AW201+AX201</f>
        <v>0</v>
      </c>
      <c r="AW201" s="29">
        <f>F201*AO201</f>
        <v>0</v>
      </c>
      <c r="AX201" s="29">
        <f>F201*AP201</f>
        <v>0</v>
      </c>
      <c r="AY201" s="31" t="s">
        <v>437</v>
      </c>
      <c r="AZ201" s="31" t="s">
        <v>438</v>
      </c>
      <c r="BA201" s="11" t="s">
        <v>439</v>
      </c>
      <c r="BC201" s="29">
        <f>AW201+AX201</f>
        <v>0</v>
      </c>
      <c r="BD201" s="29">
        <f>G201/(100-BE201)*100</f>
        <v>0</v>
      </c>
      <c r="BE201" s="29">
        <v>0</v>
      </c>
      <c r="BF201" s="29">
        <f>201</f>
        <v>201</v>
      </c>
      <c r="BH201" s="29">
        <f>F201*AO201</f>
        <v>0</v>
      </c>
      <c r="BI201" s="29">
        <f>F201*AP201</f>
        <v>0</v>
      </c>
      <c r="BJ201" s="29">
        <f>F201*G201</f>
        <v>0</v>
      </c>
      <c r="BK201" s="29"/>
      <c r="BL201" s="29">
        <v>61</v>
      </c>
      <c r="BW201" s="29">
        <v>21</v>
      </c>
      <c r="BX201" s="5" t="s">
        <v>450</v>
      </c>
    </row>
    <row r="202" spans="1:76" ht="14.4" x14ac:dyDescent="0.3">
      <c r="A202" s="32"/>
      <c r="C202" s="33" t="s">
        <v>451</v>
      </c>
      <c r="D202" s="33" t="s">
        <v>452</v>
      </c>
      <c r="F202" s="34">
        <v>34.65</v>
      </c>
      <c r="K202" s="35"/>
    </row>
    <row r="203" spans="1:76" ht="14.4" x14ac:dyDescent="0.3">
      <c r="A203" s="32"/>
      <c r="C203" s="33" t="s">
        <v>453</v>
      </c>
      <c r="D203" s="33" t="s">
        <v>51</v>
      </c>
      <c r="F203" s="34">
        <v>25.74</v>
      </c>
      <c r="K203" s="35"/>
    </row>
    <row r="204" spans="1:76" ht="14.4" x14ac:dyDescent="0.3">
      <c r="A204" s="2" t="s">
        <v>454</v>
      </c>
      <c r="B204" s="3" t="s">
        <v>455</v>
      </c>
      <c r="C204" s="87" t="s">
        <v>456</v>
      </c>
      <c r="D204" s="84"/>
      <c r="E204" s="3" t="s">
        <v>59</v>
      </c>
      <c r="F204" s="29">
        <v>60.39</v>
      </c>
      <c r="G204" s="29">
        <v>0</v>
      </c>
      <c r="H204" s="29">
        <f>F204*AO204</f>
        <v>0</v>
      </c>
      <c r="I204" s="29">
        <f>F204*AP204</f>
        <v>0</v>
      </c>
      <c r="J204" s="29">
        <f>F204*G204</f>
        <v>0</v>
      </c>
      <c r="K204" s="30" t="s">
        <v>60</v>
      </c>
      <c r="Z204" s="29">
        <f>IF(AQ204="5",BJ204,0)</f>
        <v>0</v>
      </c>
      <c r="AB204" s="29">
        <f>IF(AQ204="1",BH204,0)</f>
        <v>0</v>
      </c>
      <c r="AC204" s="29">
        <f>IF(AQ204="1",BI204,0)</f>
        <v>0</v>
      </c>
      <c r="AD204" s="29">
        <f>IF(AQ204="7",BH204,0)</f>
        <v>0</v>
      </c>
      <c r="AE204" s="29">
        <f>IF(AQ204="7",BI204,0)</f>
        <v>0</v>
      </c>
      <c r="AF204" s="29">
        <f>IF(AQ204="2",BH204,0)</f>
        <v>0</v>
      </c>
      <c r="AG204" s="29">
        <f>IF(AQ204="2",BI204,0)</f>
        <v>0</v>
      </c>
      <c r="AH204" s="29">
        <f>IF(AQ204="0",BJ204,0)</f>
        <v>0</v>
      </c>
      <c r="AI204" s="11" t="s">
        <v>433</v>
      </c>
      <c r="AJ204" s="29">
        <f>IF(AN204=0,J204,0)</f>
        <v>0</v>
      </c>
      <c r="AK204" s="29">
        <f>IF(AN204=12,J204,0)</f>
        <v>0</v>
      </c>
      <c r="AL204" s="29">
        <f>IF(AN204=21,J204,0)</f>
        <v>0</v>
      </c>
      <c r="AN204" s="29">
        <v>21</v>
      </c>
      <c r="AO204" s="29">
        <f>G204*0.401714014</f>
        <v>0</v>
      </c>
      <c r="AP204" s="29">
        <f>G204*(1-0.401714014)</f>
        <v>0</v>
      </c>
      <c r="AQ204" s="31" t="s">
        <v>56</v>
      </c>
      <c r="AV204" s="29">
        <f>AW204+AX204</f>
        <v>0</v>
      </c>
      <c r="AW204" s="29">
        <f>F204*AO204</f>
        <v>0</v>
      </c>
      <c r="AX204" s="29">
        <f>F204*AP204</f>
        <v>0</v>
      </c>
      <c r="AY204" s="31" t="s">
        <v>437</v>
      </c>
      <c r="AZ204" s="31" t="s">
        <v>438</v>
      </c>
      <c r="BA204" s="11" t="s">
        <v>439</v>
      </c>
      <c r="BC204" s="29">
        <f>AW204+AX204</f>
        <v>0</v>
      </c>
      <c r="BD204" s="29">
        <f>G204/(100-BE204)*100</f>
        <v>0</v>
      </c>
      <c r="BE204" s="29">
        <v>0</v>
      </c>
      <c r="BF204" s="29">
        <f>204</f>
        <v>204</v>
      </c>
      <c r="BH204" s="29">
        <f>F204*AO204</f>
        <v>0</v>
      </c>
      <c r="BI204" s="29">
        <f>F204*AP204</f>
        <v>0</v>
      </c>
      <c r="BJ204" s="29">
        <f>F204*G204</f>
        <v>0</v>
      </c>
      <c r="BK204" s="29"/>
      <c r="BL204" s="29">
        <v>61</v>
      </c>
      <c r="BW204" s="29">
        <v>21</v>
      </c>
      <c r="BX204" s="5" t="s">
        <v>456</v>
      </c>
    </row>
    <row r="205" spans="1:76" ht="14.4" x14ac:dyDescent="0.3">
      <c r="A205" s="32"/>
      <c r="C205" s="33" t="s">
        <v>451</v>
      </c>
      <c r="D205" s="33" t="s">
        <v>452</v>
      </c>
      <c r="F205" s="34">
        <v>34.65</v>
      </c>
      <c r="K205" s="35"/>
    </row>
    <row r="206" spans="1:76" ht="14.4" x14ac:dyDescent="0.3">
      <c r="A206" s="32"/>
      <c r="C206" s="33" t="s">
        <v>453</v>
      </c>
      <c r="D206" s="33" t="s">
        <v>51</v>
      </c>
      <c r="F206" s="34">
        <v>25.74</v>
      </c>
      <c r="K206" s="35"/>
    </row>
    <row r="207" spans="1:76" ht="14.4" x14ac:dyDescent="0.3">
      <c r="A207" s="2" t="s">
        <v>457</v>
      </c>
      <c r="B207" s="3" t="s">
        <v>458</v>
      </c>
      <c r="C207" s="87" t="s">
        <v>459</v>
      </c>
      <c r="D207" s="84"/>
      <c r="E207" s="3" t="s">
        <v>59</v>
      </c>
      <c r="F207" s="29">
        <v>429.33460000000002</v>
      </c>
      <c r="G207" s="29">
        <v>0</v>
      </c>
      <c r="H207" s="29">
        <f>F207*AO207</f>
        <v>0</v>
      </c>
      <c r="I207" s="29">
        <f>F207*AP207</f>
        <v>0</v>
      </c>
      <c r="J207" s="29">
        <f>F207*G207</f>
        <v>0</v>
      </c>
      <c r="K207" s="30" t="s">
        <v>60</v>
      </c>
      <c r="Z207" s="29">
        <f>IF(AQ207="5",BJ207,0)</f>
        <v>0</v>
      </c>
      <c r="AB207" s="29">
        <f>IF(AQ207="1",BH207,0)</f>
        <v>0</v>
      </c>
      <c r="AC207" s="29">
        <f>IF(AQ207="1",BI207,0)</f>
        <v>0</v>
      </c>
      <c r="AD207" s="29">
        <f>IF(AQ207="7",BH207,0)</f>
        <v>0</v>
      </c>
      <c r="AE207" s="29">
        <f>IF(AQ207="7",BI207,0)</f>
        <v>0</v>
      </c>
      <c r="AF207" s="29">
        <f>IF(AQ207="2",BH207,0)</f>
        <v>0</v>
      </c>
      <c r="AG207" s="29">
        <f>IF(AQ207="2",BI207,0)</f>
        <v>0</v>
      </c>
      <c r="AH207" s="29">
        <f>IF(AQ207="0",BJ207,0)</f>
        <v>0</v>
      </c>
      <c r="AI207" s="11" t="s">
        <v>433</v>
      </c>
      <c r="AJ207" s="29">
        <f>IF(AN207=0,J207,0)</f>
        <v>0</v>
      </c>
      <c r="AK207" s="29">
        <f>IF(AN207=12,J207,0)</f>
        <v>0</v>
      </c>
      <c r="AL207" s="29">
        <f>IF(AN207=21,J207,0)</f>
        <v>0</v>
      </c>
      <c r="AN207" s="29">
        <v>21</v>
      </c>
      <c r="AO207" s="29">
        <f>G207*0.203938956</f>
        <v>0</v>
      </c>
      <c r="AP207" s="29">
        <f>G207*(1-0.203938956)</f>
        <v>0</v>
      </c>
      <c r="AQ207" s="31" t="s">
        <v>56</v>
      </c>
      <c r="AV207" s="29">
        <f>AW207+AX207</f>
        <v>0</v>
      </c>
      <c r="AW207" s="29">
        <f>F207*AO207</f>
        <v>0</v>
      </c>
      <c r="AX207" s="29">
        <f>F207*AP207</f>
        <v>0</v>
      </c>
      <c r="AY207" s="31" t="s">
        <v>437</v>
      </c>
      <c r="AZ207" s="31" t="s">
        <v>438</v>
      </c>
      <c r="BA207" s="11" t="s">
        <v>439</v>
      </c>
      <c r="BC207" s="29">
        <f>AW207+AX207</f>
        <v>0</v>
      </c>
      <c r="BD207" s="29">
        <f>G207/(100-BE207)*100</f>
        <v>0</v>
      </c>
      <c r="BE207" s="29">
        <v>0</v>
      </c>
      <c r="BF207" s="29">
        <f>207</f>
        <v>207</v>
      </c>
      <c r="BH207" s="29">
        <f>F207*AO207</f>
        <v>0</v>
      </c>
      <c r="BI207" s="29">
        <f>F207*AP207</f>
        <v>0</v>
      </c>
      <c r="BJ207" s="29">
        <f>F207*G207</f>
        <v>0</v>
      </c>
      <c r="BK207" s="29"/>
      <c r="BL207" s="29">
        <v>61</v>
      </c>
      <c r="BW207" s="29">
        <v>21</v>
      </c>
      <c r="BX207" s="5" t="s">
        <v>459</v>
      </c>
    </row>
    <row r="208" spans="1:76" ht="14.4" x14ac:dyDescent="0.3">
      <c r="A208" s="32"/>
      <c r="C208" s="33" t="s">
        <v>90</v>
      </c>
      <c r="D208" s="33" t="s">
        <v>76</v>
      </c>
      <c r="F208" s="34">
        <v>68.198400000000007</v>
      </c>
      <c r="K208" s="35"/>
    </row>
    <row r="209" spans="1:76" ht="14.4" x14ac:dyDescent="0.3">
      <c r="A209" s="32"/>
      <c r="C209" s="33" t="s">
        <v>91</v>
      </c>
      <c r="D209" s="33" t="s">
        <v>51</v>
      </c>
      <c r="F209" s="34">
        <v>6.39</v>
      </c>
      <c r="K209" s="35"/>
    </row>
    <row r="210" spans="1:76" ht="14.4" x14ac:dyDescent="0.3">
      <c r="A210" s="32"/>
      <c r="C210" s="33" t="s">
        <v>90</v>
      </c>
      <c r="D210" s="33" t="s">
        <v>51</v>
      </c>
      <c r="F210" s="34">
        <v>68.198400000000007</v>
      </c>
      <c r="K210" s="35"/>
    </row>
    <row r="211" spans="1:76" ht="14.4" x14ac:dyDescent="0.3">
      <c r="A211" s="32"/>
      <c r="C211" s="33" t="s">
        <v>92</v>
      </c>
      <c r="D211" s="33" t="s">
        <v>51</v>
      </c>
      <c r="F211" s="34">
        <v>15.046799999999999</v>
      </c>
      <c r="K211" s="35"/>
    </row>
    <row r="212" spans="1:76" ht="14.4" x14ac:dyDescent="0.3">
      <c r="A212" s="32"/>
      <c r="C212" s="33" t="s">
        <v>93</v>
      </c>
      <c r="D212" s="33" t="s">
        <v>94</v>
      </c>
      <c r="F212" s="34">
        <v>71.808000000000007</v>
      </c>
      <c r="K212" s="35"/>
    </row>
    <row r="213" spans="1:76" ht="14.4" x14ac:dyDescent="0.3">
      <c r="A213" s="32"/>
      <c r="C213" s="33" t="s">
        <v>95</v>
      </c>
      <c r="D213" s="33" t="s">
        <v>51</v>
      </c>
      <c r="F213" s="34">
        <v>2.9148000000000001</v>
      </c>
      <c r="K213" s="35"/>
    </row>
    <row r="214" spans="1:76" ht="14.4" x14ac:dyDescent="0.3">
      <c r="A214" s="32"/>
      <c r="C214" s="33" t="s">
        <v>93</v>
      </c>
      <c r="D214" s="33" t="s">
        <v>51</v>
      </c>
      <c r="F214" s="34">
        <v>71.808000000000007</v>
      </c>
      <c r="K214" s="35"/>
    </row>
    <row r="215" spans="1:76" ht="14.4" x14ac:dyDescent="0.3">
      <c r="A215" s="32"/>
      <c r="C215" s="33" t="s">
        <v>96</v>
      </c>
      <c r="D215" s="33" t="s">
        <v>51</v>
      </c>
      <c r="F215" s="34">
        <v>22.9678</v>
      </c>
      <c r="K215" s="35"/>
    </row>
    <row r="216" spans="1:76" ht="14.4" x14ac:dyDescent="0.3">
      <c r="A216" s="32"/>
      <c r="C216" s="33" t="s">
        <v>97</v>
      </c>
      <c r="D216" s="33" t="s">
        <v>77</v>
      </c>
      <c r="F216" s="34">
        <v>67.968000000000004</v>
      </c>
      <c r="K216" s="35"/>
    </row>
    <row r="217" spans="1:76" ht="14.4" x14ac:dyDescent="0.3">
      <c r="A217" s="32"/>
      <c r="C217" s="33" t="s">
        <v>98</v>
      </c>
      <c r="D217" s="33" t="s">
        <v>51</v>
      </c>
      <c r="F217" s="34">
        <v>7.2552000000000003</v>
      </c>
      <c r="K217" s="35"/>
    </row>
    <row r="218" spans="1:76" ht="14.4" x14ac:dyDescent="0.3">
      <c r="A218" s="32"/>
      <c r="C218" s="33" t="s">
        <v>99</v>
      </c>
      <c r="D218" s="33" t="s">
        <v>51</v>
      </c>
      <c r="F218" s="34">
        <v>26.779199999999999</v>
      </c>
      <c r="K218" s="35"/>
    </row>
    <row r="219" spans="1:76" ht="14.4" x14ac:dyDescent="0.3">
      <c r="A219" s="2" t="s">
        <v>460</v>
      </c>
      <c r="B219" s="3" t="s">
        <v>461</v>
      </c>
      <c r="C219" s="87" t="s">
        <v>462</v>
      </c>
      <c r="D219" s="84"/>
      <c r="E219" s="3" t="s">
        <v>59</v>
      </c>
      <c r="F219" s="29">
        <v>15.8</v>
      </c>
      <c r="G219" s="29">
        <v>0</v>
      </c>
      <c r="H219" s="29">
        <f>F219*AO219</f>
        <v>0</v>
      </c>
      <c r="I219" s="29">
        <f>F219*AP219</f>
        <v>0</v>
      </c>
      <c r="J219" s="29">
        <f>F219*G219</f>
        <v>0</v>
      </c>
      <c r="K219" s="30" t="s">
        <v>60</v>
      </c>
      <c r="Z219" s="29">
        <f>IF(AQ219="5",BJ219,0)</f>
        <v>0</v>
      </c>
      <c r="AB219" s="29">
        <f>IF(AQ219="1",BH219,0)</f>
        <v>0</v>
      </c>
      <c r="AC219" s="29">
        <f>IF(AQ219="1",BI219,0)</f>
        <v>0</v>
      </c>
      <c r="AD219" s="29">
        <f>IF(AQ219="7",BH219,0)</f>
        <v>0</v>
      </c>
      <c r="AE219" s="29">
        <f>IF(AQ219="7",BI219,0)</f>
        <v>0</v>
      </c>
      <c r="AF219" s="29">
        <f>IF(AQ219="2",BH219,0)</f>
        <v>0</v>
      </c>
      <c r="AG219" s="29">
        <f>IF(AQ219="2",BI219,0)</f>
        <v>0</v>
      </c>
      <c r="AH219" s="29">
        <f>IF(AQ219="0",BJ219,0)</f>
        <v>0</v>
      </c>
      <c r="AI219" s="11" t="s">
        <v>433</v>
      </c>
      <c r="AJ219" s="29">
        <f>IF(AN219=0,J219,0)</f>
        <v>0</v>
      </c>
      <c r="AK219" s="29">
        <f>IF(AN219=12,J219,0)</f>
        <v>0</v>
      </c>
      <c r="AL219" s="29">
        <f>IF(AN219=21,J219,0)</f>
        <v>0</v>
      </c>
      <c r="AN219" s="29">
        <v>21</v>
      </c>
      <c r="AO219" s="29">
        <f>G219*0.316172662</f>
        <v>0</v>
      </c>
      <c r="AP219" s="29">
        <f>G219*(1-0.316172662)</f>
        <v>0</v>
      </c>
      <c r="AQ219" s="31" t="s">
        <v>56</v>
      </c>
      <c r="AV219" s="29">
        <f>AW219+AX219</f>
        <v>0</v>
      </c>
      <c r="AW219" s="29">
        <f>F219*AO219</f>
        <v>0</v>
      </c>
      <c r="AX219" s="29">
        <f>F219*AP219</f>
        <v>0</v>
      </c>
      <c r="AY219" s="31" t="s">
        <v>437</v>
      </c>
      <c r="AZ219" s="31" t="s">
        <v>438</v>
      </c>
      <c r="BA219" s="11" t="s">
        <v>439</v>
      </c>
      <c r="BC219" s="29">
        <f>AW219+AX219</f>
        <v>0</v>
      </c>
      <c r="BD219" s="29">
        <f>G219/(100-BE219)*100</f>
        <v>0</v>
      </c>
      <c r="BE219" s="29">
        <v>0</v>
      </c>
      <c r="BF219" s="29">
        <f>219</f>
        <v>219</v>
      </c>
      <c r="BH219" s="29">
        <f>F219*AO219</f>
        <v>0</v>
      </c>
      <c r="BI219" s="29">
        <f>F219*AP219</f>
        <v>0</v>
      </c>
      <c r="BJ219" s="29">
        <f>F219*G219</f>
        <v>0</v>
      </c>
      <c r="BK219" s="29"/>
      <c r="BL219" s="29">
        <v>61</v>
      </c>
      <c r="BW219" s="29">
        <v>21</v>
      </c>
      <c r="BX219" s="5" t="s">
        <v>462</v>
      </c>
    </row>
    <row r="220" spans="1:76" ht="14.4" x14ac:dyDescent="0.3">
      <c r="A220" s="32"/>
      <c r="C220" s="33" t="s">
        <v>463</v>
      </c>
      <c r="D220" s="33" t="s">
        <v>51</v>
      </c>
      <c r="F220" s="34">
        <v>14</v>
      </c>
      <c r="K220" s="35"/>
    </row>
    <row r="221" spans="1:76" ht="14.4" x14ac:dyDescent="0.3">
      <c r="A221" s="32"/>
      <c r="C221" s="33" t="s">
        <v>464</v>
      </c>
      <c r="D221" s="33" t="s">
        <v>51</v>
      </c>
      <c r="F221" s="34">
        <v>1.8</v>
      </c>
      <c r="K221" s="35"/>
    </row>
    <row r="222" spans="1:76" ht="14.4" x14ac:dyDescent="0.3">
      <c r="A222" s="2" t="s">
        <v>465</v>
      </c>
      <c r="B222" s="3" t="s">
        <v>466</v>
      </c>
      <c r="C222" s="87" t="s">
        <v>467</v>
      </c>
      <c r="D222" s="84"/>
      <c r="E222" s="3" t="s">
        <v>59</v>
      </c>
      <c r="F222" s="29">
        <v>475.30279999999999</v>
      </c>
      <c r="G222" s="29">
        <v>0</v>
      </c>
      <c r="H222" s="29">
        <f>F222*AO222</f>
        <v>0</v>
      </c>
      <c r="I222" s="29">
        <f>F222*AP222</f>
        <v>0</v>
      </c>
      <c r="J222" s="29">
        <f>F222*G222</f>
        <v>0</v>
      </c>
      <c r="K222" s="30" t="s">
        <v>60</v>
      </c>
      <c r="Z222" s="29">
        <f>IF(AQ222="5",BJ222,0)</f>
        <v>0</v>
      </c>
      <c r="AB222" s="29">
        <f>IF(AQ222="1",BH222,0)</f>
        <v>0</v>
      </c>
      <c r="AC222" s="29">
        <f>IF(AQ222="1",BI222,0)</f>
        <v>0</v>
      </c>
      <c r="AD222" s="29">
        <f>IF(AQ222="7",BH222,0)</f>
        <v>0</v>
      </c>
      <c r="AE222" s="29">
        <f>IF(AQ222="7",BI222,0)</f>
        <v>0</v>
      </c>
      <c r="AF222" s="29">
        <f>IF(AQ222="2",BH222,0)</f>
        <v>0</v>
      </c>
      <c r="AG222" s="29">
        <f>IF(AQ222="2",BI222,0)</f>
        <v>0</v>
      </c>
      <c r="AH222" s="29">
        <f>IF(AQ222="0",BJ222,0)</f>
        <v>0</v>
      </c>
      <c r="AI222" s="11" t="s">
        <v>433</v>
      </c>
      <c r="AJ222" s="29">
        <f>IF(AN222=0,J222,0)</f>
        <v>0</v>
      </c>
      <c r="AK222" s="29">
        <f>IF(AN222=12,J222,0)</f>
        <v>0</v>
      </c>
      <c r="AL222" s="29">
        <f>IF(AN222=21,J222,0)</f>
        <v>0</v>
      </c>
      <c r="AN222" s="29">
        <v>21</v>
      </c>
      <c r="AO222" s="29">
        <f>G222*0.10914634</f>
        <v>0</v>
      </c>
      <c r="AP222" s="29">
        <f>G222*(1-0.10914634)</f>
        <v>0</v>
      </c>
      <c r="AQ222" s="31" t="s">
        <v>56</v>
      </c>
      <c r="AV222" s="29">
        <f>AW222+AX222</f>
        <v>0</v>
      </c>
      <c r="AW222" s="29">
        <f>F222*AO222</f>
        <v>0</v>
      </c>
      <c r="AX222" s="29">
        <f>F222*AP222</f>
        <v>0</v>
      </c>
      <c r="AY222" s="31" t="s">
        <v>437</v>
      </c>
      <c r="AZ222" s="31" t="s">
        <v>438</v>
      </c>
      <c r="BA222" s="11" t="s">
        <v>439</v>
      </c>
      <c r="BC222" s="29">
        <f>AW222+AX222</f>
        <v>0</v>
      </c>
      <c r="BD222" s="29">
        <f>G222/(100-BE222)*100</f>
        <v>0</v>
      </c>
      <c r="BE222" s="29">
        <v>0</v>
      </c>
      <c r="BF222" s="29">
        <f>222</f>
        <v>222</v>
      </c>
      <c r="BH222" s="29">
        <f>F222*AO222</f>
        <v>0</v>
      </c>
      <c r="BI222" s="29">
        <f>F222*AP222</f>
        <v>0</v>
      </c>
      <c r="BJ222" s="29">
        <f>F222*G222</f>
        <v>0</v>
      </c>
      <c r="BK222" s="29"/>
      <c r="BL222" s="29">
        <v>61</v>
      </c>
      <c r="BW222" s="29">
        <v>21</v>
      </c>
      <c r="BX222" s="5" t="s">
        <v>467</v>
      </c>
    </row>
    <row r="223" spans="1:76" ht="14.4" x14ac:dyDescent="0.3">
      <c r="A223" s="32"/>
      <c r="C223" s="33" t="s">
        <v>468</v>
      </c>
      <c r="D223" s="33" t="s">
        <v>210</v>
      </c>
      <c r="F223" s="34">
        <v>67.64</v>
      </c>
      <c r="K223" s="35"/>
    </row>
    <row r="224" spans="1:76" ht="14.4" x14ac:dyDescent="0.3">
      <c r="A224" s="32"/>
      <c r="C224" s="33" t="s">
        <v>469</v>
      </c>
      <c r="D224" s="33" t="s">
        <v>51</v>
      </c>
      <c r="F224" s="34">
        <v>36.619999999999997</v>
      </c>
      <c r="K224" s="35"/>
    </row>
    <row r="225" spans="1:76" ht="14.4" x14ac:dyDescent="0.3">
      <c r="A225" s="32"/>
      <c r="C225" s="33" t="s">
        <v>468</v>
      </c>
      <c r="D225" s="33" t="s">
        <v>51</v>
      </c>
      <c r="F225" s="34">
        <v>67.64</v>
      </c>
      <c r="K225" s="35"/>
    </row>
    <row r="226" spans="1:76" ht="14.4" x14ac:dyDescent="0.3">
      <c r="A226" s="32"/>
      <c r="C226" s="33" t="s">
        <v>470</v>
      </c>
      <c r="D226" s="33" t="s">
        <v>51</v>
      </c>
      <c r="F226" s="34">
        <v>6.1315999999999997</v>
      </c>
      <c r="K226" s="35"/>
    </row>
    <row r="227" spans="1:76" ht="14.4" x14ac:dyDescent="0.3">
      <c r="A227" s="32"/>
      <c r="C227" s="33" t="s">
        <v>471</v>
      </c>
      <c r="D227" s="33" t="s">
        <v>211</v>
      </c>
      <c r="F227" s="34">
        <v>71.238</v>
      </c>
      <c r="K227" s="35"/>
    </row>
    <row r="228" spans="1:76" ht="14.4" x14ac:dyDescent="0.3">
      <c r="A228" s="32"/>
      <c r="C228" s="33" t="s">
        <v>472</v>
      </c>
      <c r="D228" s="33" t="s">
        <v>51</v>
      </c>
      <c r="F228" s="34">
        <v>36.354500000000002</v>
      </c>
      <c r="K228" s="35"/>
    </row>
    <row r="229" spans="1:76" ht="14.4" x14ac:dyDescent="0.3">
      <c r="A229" s="32"/>
      <c r="C229" s="33" t="s">
        <v>471</v>
      </c>
      <c r="D229" s="33" t="s">
        <v>51</v>
      </c>
      <c r="F229" s="34">
        <v>71.238</v>
      </c>
      <c r="K229" s="35"/>
    </row>
    <row r="230" spans="1:76" ht="14.4" x14ac:dyDescent="0.3">
      <c r="A230" s="32"/>
      <c r="C230" s="33" t="s">
        <v>473</v>
      </c>
      <c r="D230" s="33" t="s">
        <v>51</v>
      </c>
      <c r="F230" s="34">
        <v>5.8661000000000003</v>
      </c>
      <c r="K230" s="35"/>
    </row>
    <row r="231" spans="1:76" ht="14.4" x14ac:dyDescent="0.3">
      <c r="A231" s="32"/>
      <c r="C231" s="33" t="s">
        <v>474</v>
      </c>
      <c r="D231" s="33" t="s">
        <v>213</v>
      </c>
      <c r="F231" s="34">
        <v>67.260000000000005</v>
      </c>
      <c r="K231" s="35"/>
    </row>
    <row r="232" spans="1:76" ht="14.4" x14ac:dyDescent="0.3">
      <c r="A232" s="32"/>
      <c r="C232" s="33" t="s">
        <v>475</v>
      </c>
      <c r="D232" s="33" t="s">
        <v>51</v>
      </c>
      <c r="F232" s="34">
        <v>38.14</v>
      </c>
      <c r="K232" s="35"/>
    </row>
    <row r="233" spans="1:76" ht="14.4" x14ac:dyDescent="0.3">
      <c r="A233" s="32"/>
      <c r="C233" s="33" t="s">
        <v>476</v>
      </c>
      <c r="D233" s="33" t="s">
        <v>51</v>
      </c>
      <c r="F233" s="34">
        <v>7.1745999999999999</v>
      </c>
      <c r="K233" s="35"/>
    </row>
    <row r="234" spans="1:76" ht="14.4" x14ac:dyDescent="0.3">
      <c r="A234" s="25" t="s">
        <v>51</v>
      </c>
      <c r="B234" s="26" t="s">
        <v>177</v>
      </c>
      <c r="C234" s="143" t="s">
        <v>477</v>
      </c>
      <c r="D234" s="144"/>
      <c r="E234" s="27" t="s">
        <v>4</v>
      </c>
      <c r="F234" s="27" t="s">
        <v>4</v>
      </c>
      <c r="G234" s="27" t="s">
        <v>4</v>
      </c>
      <c r="H234" s="1">
        <f>SUM(H235:H235)</f>
        <v>0</v>
      </c>
      <c r="I234" s="1">
        <f>SUM(I235:I235)</f>
        <v>0</v>
      </c>
      <c r="J234" s="1">
        <f>SUM(J235:J235)</f>
        <v>0</v>
      </c>
      <c r="K234" s="28" t="s">
        <v>51</v>
      </c>
      <c r="AI234" s="11" t="s">
        <v>433</v>
      </c>
      <c r="AS234" s="1">
        <f>SUM(AJ235:AJ235)</f>
        <v>0</v>
      </c>
      <c r="AT234" s="1">
        <f>SUM(AK235:AK235)</f>
        <v>0</v>
      </c>
      <c r="AU234" s="1">
        <f>SUM(AL235:AL235)</f>
        <v>0</v>
      </c>
    </row>
    <row r="235" spans="1:76" ht="14.4" x14ac:dyDescent="0.3">
      <c r="A235" s="2" t="s">
        <v>478</v>
      </c>
      <c r="B235" s="3" t="s">
        <v>479</v>
      </c>
      <c r="C235" s="87" t="s">
        <v>480</v>
      </c>
      <c r="D235" s="84"/>
      <c r="E235" s="3" t="s">
        <v>129</v>
      </c>
      <c r="F235" s="29">
        <v>15.35</v>
      </c>
      <c r="G235" s="29">
        <v>0</v>
      </c>
      <c r="H235" s="29">
        <f>F235*AO235</f>
        <v>0</v>
      </c>
      <c r="I235" s="29">
        <f>F235*AP235</f>
        <v>0</v>
      </c>
      <c r="J235" s="29">
        <f>F235*G235</f>
        <v>0</v>
      </c>
      <c r="K235" s="30" t="s">
        <v>60</v>
      </c>
      <c r="Z235" s="29">
        <f>IF(AQ235="5",BJ235,0)</f>
        <v>0</v>
      </c>
      <c r="AB235" s="29">
        <f>IF(AQ235="1",BH235,0)</f>
        <v>0</v>
      </c>
      <c r="AC235" s="29">
        <f>IF(AQ235="1",BI235,0)</f>
        <v>0</v>
      </c>
      <c r="AD235" s="29">
        <f>IF(AQ235="7",BH235,0)</f>
        <v>0</v>
      </c>
      <c r="AE235" s="29">
        <f>IF(AQ235="7",BI235,0)</f>
        <v>0</v>
      </c>
      <c r="AF235" s="29">
        <f>IF(AQ235="2",BH235,0)</f>
        <v>0</v>
      </c>
      <c r="AG235" s="29">
        <f>IF(AQ235="2",BI235,0)</f>
        <v>0</v>
      </c>
      <c r="AH235" s="29">
        <f>IF(AQ235="0",BJ235,0)</f>
        <v>0</v>
      </c>
      <c r="AI235" s="11" t="s">
        <v>433</v>
      </c>
      <c r="AJ235" s="29">
        <f>IF(AN235=0,J235,0)</f>
        <v>0</v>
      </c>
      <c r="AK235" s="29">
        <f>IF(AN235=12,J235,0)</f>
        <v>0</v>
      </c>
      <c r="AL235" s="29">
        <f>IF(AN235=21,J235,0)</f>
        <v>0</v>
      </c>
      <c r="AN235" s="29">
        <v>21</v>
      </c>
      <c r="AO235" s="29">
        <f>G235*0</f>
        <v>0</v>
      </c>
      <c r="AP235" s="29">
        <f>G235*(1-0)</f>
        <v>0</v>
      </c>
      <c r="AQ235" s="31" t="s">
        <v>56</v>
      </c>
      <c r="AV235" s="29">
        <f>AW235+AX235</f>
        <v>0</v>
      </c>
      <c r="AW235" s="29">
        <f>F235*AO235</f>
        <v>0</v>
      </c>
      <c r="AX235" s="29">
        <f>F235*AP235</f>
        <v>0</v>
      </c>
      <c r="AY235" s="31" t="s">
        <v>481</v>
      </c>
      <c r="AZ235" s="31" t="s">
        <v>482</v>
      </c>
      <c r="BA235" s="11" t="s">
        <v>439</v>
      </c>
      <c r="BC235" s="29">
        <f>AW235+AX235</f>
        <v>0</v>
      </c>
      <c r="BD235" s="29">
        <f>G235/(100-BE235)*100</f>
        <v>0</v>
      </c>
      <c r="BE235" s="29">
        <v>0</v>
      </c>
      <c r="BF235" s="29">
        <f>235</f>
        <v>235</v>
      </c>
      <c r="BH235" s="29">
        <f>F235*AO235</f>
        <v>0</v>
      </c>
      <c r="BI235" s="29">
        <f>F235*AP235</f>
        <v>0</v>
      </c>
      <c r="BJ235" s="29">
        <f>F235*G235</f>
        <v>0</v>
      </c>
      <c r="BK235" s="29"/>
      <c r="BL235" s="29">
        <v>17</v>
      </c>
      <c r="BW235" s="29">
        <v>21</v>
      </c>
      <c r="BX235" s="5" t="s">
        <v>480</v>
      </c>
    </row>
    <row r="236" spans="1:76" ht="14.4" x14ac:dyDescent="0.3">
      <c r="A236" s="32"/>
      <c r="C236" s="33" t="s">
        <v>483</v>
      </c>
      <c r="D236" s="33" t="s">
        <v>484</v>
      </c>
      <c r="F236" s="34">
        <v>7.4749999999999996</v>
      </c>
      <c r="K236" s="35"/>
    </row>
    <row r="237" spans="1:76" ht="14.4" x14ac:dyDescent="0.3">
      <c r="A237" s="32"/>
      <c r="C237" s="33" t="s">
        <v>485</v>
      </c>
      <c r="D237" s="33" t="s">
        <v>486</v>
      </c>
      <c r="F237" s="34">
        <v>3.25</v>
      </c>
      <c r="K237" s="35"/>
    </row>
    <row r="238" spans="1:76" ht="14.4" x14ac:dyDescent="0.3">
      <c r="A238" s="32"/>
      <c r="C238" s="33" t="s">
        <v>487</v>
      </c>
      <c r="D238" s="33" t="s">
        <v>488</v>
      </c>
      <c r="F238" s="34">
        <v>4.625</v>
      </c>
      <c r="K238" s="35"/>
    </row>
    <row r="239" spans="1:76" ht="14.4" x14ac:dyDescent="0.3">
      <c r="A239" s="25" t="s">
        <v>51</v>
      </c>
      <c r="B239" s="26" t="s">
        <v>148</v>
      </c>
      <c r="C239" s="143" t="s">
        <v>149</v>
      </c>
      <c r="D239" s="144"/>
      <c r="E239" s="27" t="s">
        <v>4</v>
      </c>
      <c r="F239" s="27" t="s">
        <v>4</v>
      </c>
      <c r="G239" s="27" t="s">
        <v>4</v>
      </c>
      <c r="H239" s="1">
        <f>SUM(H240:H240)</f>
        <v>0</v>
      </c>
      <c r="I239" s="1">
        <f>SUM(I240:I240)</f>
        <v>0</v>
      </c>
      <c r="J239" s="1">
        <f>SUM(J240:J240)</f>
        <v>0</v>
      </c>
      <c r="K239" s="28" t="s">
        <v>51</v>
      </c>
      <c r="AI239" s="11" t="s">
        <v>433</v>
      </c>
      <c r="AS239" s="1">
        <f>SUM(AJ240:AJ240)</f>
        <v>0</v>
      </c>
      <c r="AT239" s="1">
        <f>SUM(AK240:AK240)</f>
        <v>0</v>
      </c>
      <c r="AU239" s="1">
        <f>SUM(AL240:AL240)</f>
        <v>0</v>
      </c>
    </row>
    <row r="240" spans="1:76" ht="26.4" x14ac:dyDescent="0.3">
      <c r="A240" s="2" t="s">
        <v>489</v>
      </c>
      <c r="B240" s="3" t="s">
        <v>490</v>
      </c>
      <c r="C240" s="87" t="s">
        <v>491</v>
      </c>
      <c r="D240" s="84"/>
      <c r="E240" s="3" t="s">
        <v>59</v>
      </c>
      <c r="F240" s="29">
        <v>67.305809999999994</v>
      </c>
      <c r="G240" s="29">
        <v>0</v>
      </c>
      <c r="H240" s="29">
        <f>F240*AO240</f>
        <v>0</v>
      </c>
      <c r="I240" s="29">
        <f>F240*AP240</f>
        <v>0</v>
      </c>
      <c r="J240" s="29">
        <f>F240*G240</f>
        <v>0</v>
      </c>
      <c r="K240" s="30" t="s">
        <v>60</v>
      </c>
      <c r="Z240" s="29">
        <f>IF(AQ240="5",BJ240,0)</f>
        <v>0</v>
      </c>
      <c r="AB240" s="29">
        <f>IF(AQ240="1",BH240,0)</f>
        <v>0</v>
      </c>
      <c r="AC240" s="29">
        <f>IF(AQ240="1",BI240,0)</f>
        <v>0</v>
      </c>
      <c r="AD240" s="29">
        <f>IF(AQ240="7",BH240,0)</f>
        <v>0</v>
      </c>
      <c r="AE240" s="29">
        <f>IF(AQ240="7",BI240,0)</f>
        <v>0</v>
      </c>
      <c r="AF240" s="29">
        <f>IF(AQ240="2",BH240,0)</f>
        <v>0</v>
      </c>
      <c r="AG240" s="29">
        <f>IF(AQ240="2",BI240,0)</f>
        <v>0</v>
      </c>
      <c r="AH240" s="29">
        <f>IF(AQ240="0",BJ240,0)</f>
        <v>0</v>
      </c>
      <c r="AI240" s="11" t="s">
        <v>433</v>
      </c>
      <c r="AJ240" s="29">
        <f>IF(AN240=0,J240,0)</f>
        <v>0</v>
      </c>
      <c r="AK240" s="29">
        <f>IF(AN240=12,J240,0)</f>
        <v>0</v>
      </c>
      <c r="AL240" s="29">
        <f>IF(AN240=21,J240,0)</f>
        <v>0</v>
      </c>
      <c r="AN240" s="29">
        <v>21</v>
      </c>
      <c r="AO240" s="29">
        <f>G240*0.158040679</f>
        <v>0</v>
      </c>
      <c r="AP240" s="29">
        <f>G240*(1-0.158040679)</f>
        <v>0</v>
      </c>
      <c r="AQ240" s="31" t="s">
        <v>56</v>
      </c>
      <c r="AV240" s="29">
        <f>AW240+AX240</f>
        <v>0</v>
      </c>
      <c r="AW240" s="29">
        <f>F240*AO240</f>
        <v>0</v>
      </c>
      <c r="AX240" s="29">
        <f>F240*AP240</f>
        <v>0</v>
      </c>
      <c r="AY240" s="31" t="s">
        <v>153</v>
      </c>
      <c r="AZ240" s="31" t="s">
        <v>492</v>
      </c>
      <c r="BA240" s="11" t="s">
        <v>439</v>
      </c>
      <c r="BC240" s="29">
        <f>AW240+AX240</f>
        <v>0</v>
      </c>
      <c r="BD240" s="29">
        <f>G240/(100-BE240)*100</f>
        <v>0</v>
      </c>
      <c r="BE240" s="29">
        <v>0</v>
      </c>
      <c r="BF240" s="29">
        <f>240</f>
        <v>240</v>
      </c>
      <c r="BH240" s="29">
        <f>F240*AO240</f>
        <v>0</v>
      </c>
      <c r="BI240" s="29">
        <f>F240*AP240</f>
        <v>0</v>
      </c>
      <c r="BJ240" s="29">
        <f>F240*G240</f>
        <v>0</v>
      </c>
      <c r="BK240" s="29"/>
      <c r="BL240" s="29">
        <v>31</v>
      </c>
      <c r="BW240" s="29">
        <v>21</v>
      </c>
      <c r="BX240" s="5" t="s">
        <v>491</v>
      </c>
    </row>
    <row r="241" spans="1:76" ht="14.4" x14ac:dyDescent="0.3">
      <c r="A241" s="32"/>
      <c r="C241" s="33" t="s">
        <v>493</v>
      </c>
      <c r="D241" s="33" t="s">
        <v>369</v>
      </c>
      <c r="F241" s="34">
        <v>14.02434</v>
      </c>
      <c r="K241" s="35"/>
    </row>
    <row r="242" spans="1:76" ht="14.4" x14ac:dyDescent="0.3">
      <c r="A242" s="32"/>
      <c r="C242" s="33" t="s">
        <v>494</v>
      </c>
      <c r="D242" s="33" t="s">
        <v>371</v>
      </c>
      <c r="F242" s="34">
        <v>23.821470000000001</v>
      </c>
      <c r="K242" s="35"/>
    </row>
    <row r="243" spans="1:76" ht="14.4" x14ac:dyDescent="0.3">
      <c r="A243" s="32"/>
      <c r="C243" s="33" t="s">
        <v>495</v>
      </c>
      <c r="D243" s="33" t="s">
        <v>496</v>
      </c>
      <c r="F243" s="34">
        <v>29.46</v>
      </c>
      <c r="K243" s="35"/>
    </row>
    <row r="244" spans="1:76" ht="14.4" x14ac:dyDescent="0.3">
      <c r="A244" s="25" t="s">
        <v>51</v>
      </c>
      <c r="B244" s="26" t="s">
        <v>260</v>
      </c>
      <c r="C244" s="143" t="s">
        <v>497</v>
      </c>
      <c r="D244" s="144"/>
      <c r="E244" s="27" t="s">
        <v>4</v>
      </c>
      <c r="F244" s="27" t="s">
        <v>4</v>
      </c>
      <c r="G244" s="27" t="s">
        <v>4</v>
      </c>
      <c r="H244" s="1">
        <f>SUM(H245:H248)</f>
        <v>0</v>
      </c>
      <c r="I244" s="1">
        <f>SUM(I245:I248)</f>
        <v>0</v>
      </c>
      <c r="J244" s="1">
        <f>SUM(J245:J248)</f>
        <v>0</v>
      </c>
      <c r="K244" s="28" t="s">
        <v>51</v>
      </c>
      <c r="AI244" s="11" t="s">
        <v>433</v>
      </c>
      <c r="AS244" s="1">
        <f>SUM(AJ245:AJ248)</f>
        <v>0</v>
      </c>
      <c r="AT244" s="1">
        <f>SUM(AK245:AK248)</f>
        <v>0</v>
      </c>
      <c r="AU244" s="1">
        <f>SUM(AL245:AL248)</f>
        <v>0</v>
      </c>
    </row>
    <row r="245" spans="1:76" ht="14.4" x14ac:dyDescent="0.3">
      <c r="A245" s="2" t="s">
        <v>498</v>
      </c>
      <c r="B245" s="3" t="s">
        <v>499</v>
      </c>
      <c r="C245" s="87" t="s">
        <v>500</v>
      </c>
      <c r="D245" s="84"/>
      <c r="E245" s="3" t="s">
        <v>59</v>
      </c>
      <c r="F245" s="29">
        <v>58.56</v>
      </c>
      <c r="G245" s="29">
        <v>0</v>
      </c>
      <c r="H245" s="29">
        <f>F245*AO245</f>
        <v>0</v>
      </c>
      <c r="I245" s="29">
        <f>F245*AP245</f>
        <v>0</v>
      </c>
      <c r="J245" s="29">
        <f>F245*G245</f>
        <v>0</v>
      </c>
      <c r="K245" s="30" t="s">
        <v>60</v>
      </c>
      <c r="Z245" s="29">
        <f>IF(AQ245="5",BJ245,0)</f>
        <v>0</v>
      </c>
      <c r="AB245" s="29">
        <f>IF(AQ245="1",BH245,0)</f>
        <v>0</v>
      </c>
      <c r="AC245" s="29">
        <f>IF(AQ245="1",BI245,0)</f>
        <v>0</v>
      </c>
      <c r="AD245" s="29">
        <f>IF(AQ245="7",BH245,0)</f>
        <v>0</v>
      </c>
      <c r="AE245" s="29">
        <f>IF(AQ245="7",BI245,0)</f>
        <v>0</v>
      </c>
      <c r="AF245" s="29">
        <f>IF(AQ245="2",BH245,0)</f>
        <v>0</v>
      </c>
      <c r="AG245" s="29">
        <f>IF(AQ245="2",BI245,0)</f>
        <v>0</v>
      </c>
      <c r="AH245" s="29">
        <f>IF(AQ245="0",BJ245,0)</f>
        <v>0</v>
      </c>
      <c r="AI245" s="11" t="s">
        <v>433</v>
      </c>
      <c r="AJ245" s="29">
        <f>IF(AN245=0,J245,0)</f>
        <v>0</v>
      </c>
      <c r="AK245" s="29">
        <f>IF(AN245=12,J245,0)</f>
        <v>0</v>
      </c>
      <c r="AL245" s="29">
        <f>IF(AN245=21,J245,0)</f>
        <v>0</v>
      </c>
      <c r="AN245" s="29">
        <v>21</v>
      </c>
      <c r="AO245" s="29">
        <f>G245*0.525275377</f>
        <v>0</v>
      </c>
      <c r="AP245" s="29">
        <f>G245*(1-0.525275377)</f>
        <v>0</v>
      </c>
      <c r="AQ245" s="31" t="s">
        <v>56</v>
      </c>
      <c r="AV245" s="29">
        <f>AW245+AX245</f>
        <v>0</v>
      </c>
      <c r="AW245" s="29">
        <f>F245*AO245</f>
        <v>0</v>
      </c>
      <c r="AX245" s="29">
        <f>F245*AP245</f>
        <v>0</v>
      </c>
      <c r="AY245" s="31" t="s">
        <v>501</v>
      </c>
      <c r="AZ245" s="31" t="s">
        <v>492</v>
      </c>
      <c r="BA245" s="11" t="s">
        <v>439</v>
      </c>
      <c r="BC245" s="29">
        <f>AW245+AX245</f>
        <v>0</v>
      </c>
      <c r="BD245" s="29">
        <f>G245/(100-BE245)*100</f>
        <v>0</v>
      </c>
      <c r="BE245" s="29">
        <v>0</v>
      </c>
      <c r="BF245" s="29">
        <f>245</f>
        <v>245</v>
      </c>
      <c r="BH245" s="29">
        <f>F245*AO245</f>
        <v>0</v>
      </c>
      <c r="BI245" s="29">
        <f>F245*AP245</f>
        <v>0</v>
      </c>
      <c r="BJ245" s="29">
        <f>F245*G245</f>
        <v>0</v>
      </c>
      <c r="BK245" s="29"/>
      <c r="BL245" s="29">
        <v>34</v>
      </c>
      <c r="BW245" s="29">
        <v>21</v>
      </c>
      <c r="BX245" s="5" t="s">
        <v>500</v>
      </c>
    </row>
    <row r="246" spans="1:76" ht="14.4" x14ac:dyDescent="0.3">
      <c r="A246" s="32"/>
      <c r="C246" s="33" t="s">
        <v>502</v>
      </c>
      <c r="D246" s="33" t="s">
        <v>503</v>
      </c>
      <c r="F246" s="34">
        <v>24.96</v>
      </c>
      <c r="K246" s="35"/>
    </row>
    <row r="247" spans="1:76" ht="14.4" x14ac:dyDescent="0.3">
      <c r="A247" s="32"/>
      <c r="C247" s="33" t="s">
        <v>504</v>
      </c>
      <c r="D247" s="33" t="s">
        <v>51</v>
      </c>
      <c r="F247" s="34">
        <v>33.6</v>
      </c>
      <c r="K247" s="35"/>
    </row>
    <row r="248" spans="1:76" ht="14.4" x14ac:dyDescent="0.3">
      <c r="A248" s="2" t="s">
        <v>505</v>
      </c>
      <c r="B248" s="3" t="s">
        <v>506</v>
      </c>
      <c r="C248" s="87" t="s">
        <v>507</v>
      </c>
      <c r="D248" s="84"/>
      <c r="E248" s="3" t="s">
        <v>129</v>
      </c>
      <c r="F248" s="29">
        <v>17.568000000000001</v>
      </c>
      <c r="G248" s="29">
        <v>0</v>
      </c>
      <c r="H248" s="29">
        <f>F248*AO248</f>
        <v>0</v>
      </c>
      <c r="I248" s="29">
        <f>F248*AP248</f>
        <v>0</v>
      </c>
      <c r="J248" s="29">
        <f>F248*G248</f>
        <v>0</v>
      </c>
      <c r="K248" s="30" t="s">
        <v>250</v>
      </c>
      <c r="Z248" s="29">
        <f>IF(AQ248="5",BJ248,0)</f>
        <v>0</v>
      </c>
      <c r="AB248" s="29">
        <f>IF(AQ248="1",BH248,0)</f>
        <v>0</v>
      </c>
      <c r="AC248" s="29">
        <f>IF(AQ248="1",BI248,0)</f>
        <v>0</v>
      </c>
      <c r="AD248" s="29">
        <f>IF(AQ248="7",BH248,0)</f>
        <v>0</v>
      </c>
      <c r="AE248" s="29">
        <f>IF(AQ248="7",BI248,0)</f>
        <v>0</v>
      </c>
      <c r="AF248" s="29">
        <f>IF(AQ248="2",BH248,0)</f>
        <v>0</v>
      </c>
      <c r="AG248" s="29">
        <f>IF(AQ248="2",BI248,0)</f>
        <v>0</v>
      </c>
      <c r="AH248" s="29">
        <f>IF(AQ248="0",BJ248,0)</f>
        <v>0</v>
      </c>
      <c r="AI248" s="11" t="s">
        <v>433</v>
      </c>
      <c r="AJ248" s="29">
        <f>IF(AN248=0,J248,0)</f>
        <v>0</v>
      </c>
      <c r="AK248" s="29">
        <f>IF(AN248=12,J248,0)</f>
        <v>0</v>
      </c>
      <c r="AL248" s="29">
        <f>IF(AN248=21,J248,0)</f>
        <v>0</v>
      </c>
      <c r="AN248" s="29">
        <v>21</v>
      </c>
      <c r="AO248" s="29">
        <f>G248*0.787794966</f>
        <v>0</v>
      </c>
      <c r="AP248" s="29">
        <f>G248*(1-0.787794966)</f>
        <v>0</v>
      </c>
      <c r="AQ248" s="31" t="s">
        <v>56</v>
      </c>
      <c r="AV248" s="29">
        <f>AW248+AX248</f>
        <v>0</v>
      </c>
      <c r="AW248" s="29">
        <f>F248*AO248</f>
        <v>0</v>
      </c>
      <c r="AX248" s="29">
        <f>F248*AP248</f>
        <v>0</v>
      </c>
      <c r="AY248" s="31" t="s">
        <v>501</v>
      </c>
      <c r="AZ248" s="31" t="s">
        <v>492</v>
      </c>
      <c r="BA248" s="11" t="s">
        <v>439</v>
      </c>
      <c r="BC248" s="29">
        <f>AW248+AX248</f>
        <v>0</v>
      </c>
      <c r="BD248" s="29">
        <f>G248/(100-BE248)*100</f>
        <v>0</v>
      </c>
      <c r="BE248" s="29">
        <v>0</v>
      </c>
      <c r="BF248" s="29">
        <f>248</f>
        <v>248</v>
      </c>
      <c r="BH248" s="29">
        <f>F248*AO248</f>
        <v>0</v>
      </c>
      <c r="BI248" s="29">
        <f>F248*AP248</f>
        <v>0</v>
      </c>
      <c r="BJ248" s="29">
        <f>F248*G248</f>
        <v>0</v>
      </c>
      <c r="BK248" s="29"/>
      <c r="BL248" s="29">
        <v>34</v>
      </c>
      <c r="BW248" s="29">
        <v>21</v>
      </c>
      <c r="BX248" s="5" t="s">
        <v>507</v>
      </c>
    </row>
    <row r="249" spans="1:76" ht="14.4" x14ac:dyDescent="0.3">
      <c r="A249" s="32"/>
      <c r="C249" s="33" t="s">
        <v>508</v>
      </c>
      <c r="D249" s="33" t="s">
        <v>503</v>
      </c>
      <c r="F249" s="34">
        <v>7.4880000000000004</v>
      </c>
      <c r="K249" s="35"/>
    </row>
    <row r="250" spans="1:76" ht="14.4" x14ac:dyDescent="0.3">
      <c r="A250" s="32"/>
      <c r="C250" s="33" t="s">
        <v>509</v>
      </c>
      <c r="D250" s="33" t="s">
        <v>51</v>
      </c>
      <c r="F250" s="34">
        <v>10.08</v>
      </c>
      <c r="K250" s="35"/>
    </row>
    <row r="251" spans="1:76" ht="14.4" x14ac:dyDescent="0.3">
      <c r="A251" s="25" t="s">
        <v>51</v>
      </c>
      <c r="B251" s="26" t="s">
        <v>326</v>
      </c>
      <c r="C251" s="143" t="s">
        <v>510</v>
      </c>
      <c r="D251" s="144"/>
      <c r="E251" s="27" t="s">
        <v>4</v>
      </c>
      <c r="F251" s="27" t="s">
        <v>4</v>
      </c>
      <c r="G251" s="27" t="s">
        <v>4</v>
      </c>
      <c r="H251" s="1">
        <f>SUM(H252:H252)</f>
        <v>0</v>
      </c>
      <c r="I251" s="1">
        <f>SUM(I252:I252)</f>
        <v>0</v>
      </c>
      <c r="J251" s="1">
        <f>SUM(J252:J252)</f>
        <v>0</v>
      </c>
      <c r="K251" s="28" t="s">
        <v>51</v>
      </c>
      <c r="AI251" s="11" t="s">
        <v>433</v>
      </c>
      <c r="AS251" s="1">
        <f>SUM(AJ252:AJ252)</f>
        <v>0</v>
      </c>
      <c r="AT251" s="1">
        <f>SUM(AK252:AK252)</f>
        <v>0</v>
      </c>
      <c r="AU251" s="1">
        <f>SUM(AL252:AL252)</f>
        <v>0</v>
      </c>
    </row>
    <row r="252" spans="1:76" ht="26.4" x14ac:dyDescent="0.3">
      <c r="A252" s="2" t="s">
        <v>511</v>
      </c>
      <c r="B252" s="3" t="s">
        <v>512</v>
      </c>
      <c r="C252" s="87" t="s">
        <v>513</v>
      </c>
      <c r="D252" s="84"/>
      <c r="E252" s="3" t="s">
        <v>73</v>
      </c>
      <c r="F252" s="29">
        <v>67</v>
      </c>
      <c r="G252" s="29">
        <v>0</v>
      </c>
      <c r="H252" s="29">
        <f>F252*AO252</f>
        <v>0</v>
      </c>
      <c r="I252" s="29">
        <f>F252*AP252</f>
        <v>0</v>
      </c>
      <c r="J252" s="29">
        <f>F252*G252</f>
        <v>0</v>
      </c>
      <c r="K252" s="30" t="s">
        <v>60</v>
      </c>
      <c r="Z252" s="29">
        <f>IF(AQ252="5",BJ252,0)</f>
        <v>0</v>
      </c>
      <c r="AB252" s="29">
        <f>IF(AQ252="1",BH252,0)</f>
        <v>0</v>
      </c>
      <c r="AC252" s="29">
        <f>IF(AQ252="1",BI252,0)</f>
        <v>0</v>
      </c>
      <c r="AD252" s="29">
        <f>IF(AQ252="7",BH252,0)</f>
        <v>0</v>
      </c>
      <c r="AE252" s="29">
        <f>IF(AQ252="7",BI252,0)</f>
        <v>0</v>
      </c>
      <c r="AF252" s="29">
        <f>IF(AQ252="2",BH252,0)</f>
        <v>0</v>
      </c>
      <c r="AG252" s="29">
        <f>IF(AQ252="2",BI252,0)</f>
        <v>0</v>
      </c>
      <c r="AH252" s="29">
        <f>IF(AQ252="0",BJ252,0)</f>
        <v>0</v>
      </c>
      <c r="AI252" s="11" t="s">
        <v>433</v>
      </c>
      <c r="AJ252" s="29">
        <f>IF(AN252=0,J252,0)</f>
        <v>0</v>
      </c>
      <c r="AK252" s="29">
        <f>IF(AN252=12,J252,0)</f>
        <v>0</v>
      </c>
      <c r="AL252" s="29">
        <f>IF(AN252=21,J252,0)</f>
        <v>0</v>
      </c>
      <c r="AN252" s="29">
        <v>21</v>
      </c>
      <c r="AO252" s="29">
        <f>G252*0.405921053</f>
        <v>0</v>
      </c>
      <c r="AP252" s="29">
        <f>G252*(1-0.405921053)</f>
        <v>0</v>
      </c>
      <c r="AQ252" s="31" t="s">
        <v>56</v>
      </c>
      <c r="AV252" s="29">
        <f>AW252+AX252</f>
        <v>0</v>
      </c>
      <c r="AW252" s="29">
        <f>F252*AO252</f>
        <v>0</v>
      </c>
      <c r="AX252" s="29">
        <f>F252*AP252</f>
        <v>0</v>
      </c>
      <c r="AY252" s="31" t="s">
        <v>514</v>
      </c>
      <c r="AZ252" s="31" t="s">
        <v>515</v>
      </c>
      <c r="BA252" s="11" t="s">
        <v>439</v>
      </c>
      <c r="BC252" s="29">
        <f>AW252+AX252</f>
        <v>0</v>
      </c>
      <c r="BD252" s="29">
        <f>G252/(100-BE252)*100</f>
        <v>0</v>
      </c>
      <c r="BE252" s="29">
        <v>0</v>
      </c>
      <c r="BF252" s="29">
        <f>252</f>
        <v>252</v>
      </c>
      <c r="BH252" s="29">
        <f>F252*AO252</f>
        <v>0</v>
      </c>
      <c r="BI252" s="29">
        <f>F252*AP252</f>
        <v>0</v>
      </c>
      <c r="BJ252" s="29">
        <f>F252*G252</f>
        <v>0</v>
      </c>
      <c r="BK252" s="29"/>
      <c r="BL252" s="29">
        <v>45</v>
      </c>
      <c r="BW252" s="29">
        <v>21</v>
      </c>
      <c r="BX252" s="5" t="s">
        <v>513</v>
      </c>
    </row>
    <row r="253" spans="1:76" ht="14.4" x14ac:dyDescent="0.3">
      <c r="A253" s="32"/>
      <c r="C253" s="33" t="s">
        <v>443</v>
      </c>
      <c r="D253" s="33" t="s">
        <v>516</v>
      </c>
      <c r="F253" s="34">
        <v>67</v>
      </c>
      <c r="K253" s="35"/>
    </row>
    <row r="254" spans="1:76" ht="14.4" x14ac:dyDescent="0.3">
      <c r="A254" s="25" t="s">
        <v>51</v>
      </c>
      <c r="B254" s="26" t="s">
        <v>378</v>
      </c>
      <c r="C254" s="143" t="s">
        <v>517</v>
      </c>
      <c r="D254" s="144"/>
      <c r="E254" s="27" t="s">
        <v>4</v>
      </c>
      <c r="F254" s="27" t="s">
        <v>4</v>
      </c>
      <c r="G254" s="27" t="s">
        <v>4</v>
      </c>
      <c r="H254" s="1">
        <f>SUM(H255:H294)</f>
        <v>0</v>
      </c>
      <c r="I254" s="1">
        <f>SUM(I255:I294)</f>
        <v>0</v>
      </c>
      <c r="J254" s="1">
        <f>SUM(J255:J294)</f>
        <v>0</v>
      </c>
      <c r="K254" s="28" t="s">
        <v>51</v>
      </c>
      <c r="AI254" s="11" t="s">
        <v>433</v>
      </c>
      <c r="AS254" s="1">
        <f>SUM(AJ255:AJ294)</f>
        <v>0</v>
      </c>
      <c r="AT254" s="1">
        <f>SUM(AK255:AK294)</f>
        <v>0</v>
      </c>
      <c r="AU254" s="1">
        <f>SUM(AL255:AL294)</f>
        <v>0</v>
      </c>
    </row>
    <row r="255" spans="1:76" ht="14.4" x14ac:dyDescent="0.3">
      <c r="A255" s="2" t="s">
        <v>518</v>
      </c>
      <c r="B255" s="3" t="s">
        <v>519</v>
      </c>
      <c r="C255" s="87" t="s">
        <v>520</v>
      </c>
      <c r="D255" s="84"/>
      <c r="E255" s="3" t="s">
        <v>59</v>
      </c>
      <c r="F255" s="29">
        <v>175.465</v>
      </c>
      <c r="G255" s="29">
        <v>0</v>
      </c>
      <c r="H255" s="29">
        <f>F255*AO255</f>
        <v>0</v>
      </c>
      <c r="I255" s="29">
        <f>F255*AP255</f>
        <v>0</v>
      </c>
      <c r="J255" s="29">
        <f>F255*G255</f>
        <v>0</v>
      </c>
      <c r="K255" s="30" t="s">
        <v>60</v>
      </c>
      <c r="Z255" s="29">
        <f>IF(AQ255="5",BJ255,0)</f>
        <v>0</v>
      </c>
      <c r="AB255" s="29">
        <f>IF(AQ255="1",BH255,0)</f>
        <v>0</v>
      </c>
      <c r="AC255" s="29">
        <f>IF(AQ255="1",BI255,0)</f>
        <v>0</v>
      </c>
      <c r="AD255" s="29">
        <f>IF(AQ255="7",BH255,0)</f>
        <v>0</v>
      </c>
      <c r="AE255" s="29">
        <f>IF(AQ255="7",BI255,0)</f>
        <v>0</v>
      </c>
      <c r="AF255" s="29">
        <f>IF(AQ255="2",BH255,0)</f>
        <v>0</v>
      </c>
      <c r="AG255" s="29">
        <f>IF(AQ255="2",BI255,0)</f>
        <v>0</v>
      </c>
      <c r="AH255" s="29">
        <f>IF(AQ255="0",BJ255,0)</f>
        <v>0</v>
      </c>
      <c r="AI255" s="11" t="s">
        <v>433</v>
      </c>
      <c r="AJ255" s="29">
        <f>IF(AN255=0,J255,0)</f>
        <v>0</v>
      </c>
      <c r="AK255" s="29">
        <f>IF(AN255=12,J255,0)</f>
        <v>0</v>
      </c>
      <c r="AL255" s="29">
        <f>IF(AN255=21,J255,0)</f>
        <v>0</v>
      </c>
      <c r="AN255" s="29">
        <v>21</v>
      </c>
      <c r="AO255" s="29">
        <f>G255*0</f>
        <v>0</v>
      </c>
      <c r="AP255" s="29">
        <f>G255*(1-0)</f>
        <v>0</v>
      </c>
      <c r="AQ255" s="31" t="s">
        <v>56</v>
      </c>
      <c r="AV255" s="29">
        <f>AW255+AX255</f>
        <v>0</v>
      </c>
      <c r="AW255" s="29">
        <f>F255*AO255</f>
        <v>0</v>
      </c>
      <c r="AX255" s="29">
        <f>F255*AP255</f>
        <v>0</v>
      </c>
      <c r="AY255" s="31" t="s">
        <v>521</v>
      </c>
      <c r="AZ255" s="31" t="s">
        <v>522</v>
      </c>
      <c r="BA255" s="11" t="s">
        <v>439</v>
      </c>
      <c r="BC255" s="29">
        <f>AW255+AX255</f>
        <v>0</v>
      </c>
      <c r="BD255" s="29">
        <f>G255/(100-BE255)*100</f>
        <v>0</v>
      </c>
      <c r="BE255" s="29">
        <v>0</v>
      </c>
      <c r="BF255" s="29">
        <f>255</f>
        <v>255</v>
      </c>
      <c r="BH255" s="29">
        <f>F255*AO255</f>
        <v>0</v>
      </c>
      <c r="BI255" s="29">
        <f>F255*AP255</f>
        <v>0</v>
      </c>
      <c r="BJ255" s="29">
        <f>F255*G255</f>
        <v>0</v>
      </c>
      <c r="BK255" s="29"/>
      <c r="BL255" s="29">
        <v>56</v>
      </c>
      <c r="BW255" s="29">
        <v>21</v>
      </c>
      <c r="BX255" s="5" t="s">
        <v>520</v>
      </c>
    </row>
    <row r="256" spans="1:76" ht="14.4" x14ac:dyDescent="0.3">
      <c r="A256" s="32"/>
      <c r="C256" s="33" t="s">
        <v>51</v>
      </c>
      <c r="D256" s="33" t="s">
        <v>523</v>
      </c>
      <c r="F256" s="34">
        <v>0</v>
      </c>
      <c r="K256" s="35"/>
    </row>
    <row r="257" spans="1:76" ht="14.4" x14ac:dyDescent="0.3">
      <c r="A257" s="32"/>
      <c r="C257" s="33" t="s">
        <v>524</v>
      </c>
      <c r="D257" s="33" t="s">
        <v>525</v>
      </c>
      <c r="F257" s="34">
        <v>66.95</v>
      </c>
      <c r="K257" s="35"/>
    </row>
    <row r="258" spans="1:76" ht="14.4" x14ac:dyDescent="0.3">
      <c r="A258" s="32"/>
      <c r="C258" s="33" t="s">
        <v>526</v>
      </c>
      <c r="D258" s="33" t="s">
        <v>527</v>
      </c>
      <c r="F258" s="34">
        <v>33.799999999999997</v>
      </c>
      <c r="K258" s="35"/>
    </row>
    <row r="259" spans="1:76" ht="14.4" x14ac:dyDescent="0.3">
      <c r="A259" s="32"/>
      <c r="C259" s="33" t="s">
        <v>528</v>
      </c>
      <c r="D259" s="33" t="s">
        <v>529</v>
      </c>
      <c r="F259" s="34">
        <v>10.715</v>
      </c>
      <c r="K259" s="35"/>
    </row>
    <row r="260" spans="1:76" ht="14.4" x14ac:dyDescent="0.3">
      <c r="A260" s="32"/>
      <c r="C260" s="33" t="s">
        <v>530</v>
      </c>
      <c r="D260" s="33" t="s">
        <v>531</v>
      </c>
      <c r="F260" s="34">
        <v>18.5</v>
      </c>
      <c r="K260" s="35"/>
    </row>
    <row r="261" spans="1:76" ht="14.4" x14ac:dyDescent="0.3">
      <c r="A261" s="32"/>
      <c r="C261" s="33" t="s">
        <v>532</v>
      </c>
      <c r="D261" s="33" t="s">
        <v>51</v>
      </c>
      <c r="F261" s="34">
        <v>45.5</v>
      </c>
      <c r="K261" s="35"/>
    </row>
    <row r="262" spans="1:76" ht="14.4" x14ac:dyDescent="0.3">
      <c r="A262" s="2" t="s">
        <v>533</v>
      </c>
      <c r="B262" s="3" t="s">
        <v>534</v>
      </c>
      <c r="C262" s="87" t="s">
        <v>535</v>
      </c>
      <c r="D262" s="84"/>
      <c r="E262" s="3" t="s">
        <v>59</v>
      </c>
      <c r="F262" s="29">
        <v>63.58</v>
      </c>
      <c r="G262" s="29">
        <v>0</v>
      </c>
      <c r="H262" s="29">
        <f>F262*AO262</f>
        <v>0</v>
      </c>
      <c r="I262" s="29">
        <f>F262*AP262</f>
        <v>0</v>
      </c>
      <c r="J262" s="29">
        <f>F262*G262</f>
        <v>0</v>
      </c>
      <c r="K262" s="30" t="s">
        <v>60</v>
      </c>
      <c r="Z262" s="29">
        <f>IF(AQ262="5",BJ262,0)</f>
        <v>0</v>
      </c>
      <c r="AB262" s="29">
        <f>IF(AQ262="1",BH262,0)</f>
        <v>0</v>
      </c>
      <c r="AC262" s="29">
        <f>IF(AQ262="1",BI262,0)</f>
        <v>0</v>
      </c>
      <c r="AD262" s="29">
        <f>IF(AQ262="7",BH262,0)</f>
        <v>0</v>
      </c>
      <c r="AE262" s="29">
        <f>IF(AQ262="7",BI262,0)</f>
        <v>0</v>
      </c>
      <c r="AF262" s="29">
        <f>IF(AQ262="2",BH262,0)</f>
        <v>0</v>
      </c>
      <c r="AG262" s="29">
        <f>IF(AQ262="2",BI262,0)</f>
        <v>0</v>
      </c>
      <c r="AH262" s="29">
        <f>IF(AQ262="0",BJ262,0)</f>
        <v>0</v>
      </c>
      <c r="AI262" s="11" t="s">
        <v>433</v>
      </c>
      <c r="AJ262" s="29">
        <f>IF(AN262=0,J262,0)</f>
        <v>0</v>
      </c>
      <c r="AK262" s="29">
        <f>IF(AN262=12,J262,0)</f>
        <v>0</v>
      </c>
      <c r="AL262" s="29">
        <f>IF(AN262=21,J262,0)</f>
        <v>0</v>
      </c>
      <c r="AN262" s="29">
        <v>21</v>
      </c>
      <c r="AO262" s="29">
        <f>G262*0.429548379</f>
        <v>0</v>
      </c>
      <c r="AP262" s="29">
        <f>G262*(1-0.429548379)</f>
        <v>0</v>
      </c>
      <c r="AQ262" s="31" t="s">
        <v>56</v>
      </c>
      <c r="AV262" s="29">
        <f>AW262+AX262</f>
        <v>0</v>
      </c>
      <c r="AW262" s="29">
        <f>F262*AO262</f>
        <v>0</v>
      </c>
      <c r="AX262" s="29">
        <f>F262*AP262</f>
        <v>0</v>
      </c>
      <c r="AY262" s="31" t="s">
        <v>521</v>
      </c>
      <c r="AZ262" s="31" t="s">
        <v>522</v>
      </c>
      <c r="BA262" s="11" t="s">
        <v>439</v>
      </c>
      <c r="BC262" s="29">
        <f>AW262+AX262</f>
        <v>0</v>
      </c>
      <c r="BD262" s="29">
        <f>G262/(100-BE262)*100</f>
        <v>0</v>
      </c>
      <c r="BE262" s="29">
        <v>0</v>
      </c>
      <c r="BF262" s="29">
        <f>262</f>
        <v>262</v>
      </c>
      <c r="BH262" s="29">
        <f>F262*AO262</f>
        <v>0</v>
      </c>
      <c r="BI262" s="29">
        <f>F262*AP262</f>
        <v>0</v>
      </c>
      <c r="BJ262" s="29">
        <f>F262*G262</f>
        <v>0</v>
      </c>
      <c r="BK262" s="29"/>
      <c r="BL262" s="29">
        <v>56</v>
      </c>
      <c r="BW262" s="29">
        <v>21</v>
      </c>
      <c r="BX262" s="5" t="s">
        <v>535</v>
      </c>
    </row>
    <row r="263" spans="1:76" ht="14.4" x14ac:dyDescent="0.3">
      <c r="A263" s="32"/>
      <c r="C263" s="33" t="s">
        <v>536</v>
      </c>
      <c r="D263" s="33" t="s">
        <v>537</v>
      </c>
      <c r="F263" s="34">
        <v>18.5</v>
      </c>
      <c r="K263" s="35"/>
    </row>
    <row r="264" spans="1:76" ht="14.4" x14ac:dyDescent="0.3">
      <c r="A264" s="32"/>
      <c r="C264" s="33" t="s">
        <v>538</v>
      </c>
      <c r="D264" s="33" t="s">
        <v>308</v>
      </c>
      <c r="F264" s="34">
        <v>22.54</v>
      </c>
      <c r="K264" s="35"/>
    </row>
    <row r="265" spans="1:76" ht="14.4" x14ac:dyDescent="0.3">
      <c r="A265" s="32"/>
      <c r="C265" s="33" t="s">
        <v>538</v>
      </c>
      <c r="D265" s="33" t="s">
        <v>309</v>
      </c>
      <c r="F265" s="34">
        <v>22.54</v>
      </c>
      <c r="K265" s="35"/>
    </row>
    <row r="266" spans="1:76" ht="14.4" x14ac:dyDescent="0.3">
      <c r="A266" s="2" t="s">
        <v>539</v>
      </c>
      <c r="B266" s="3" t="s">
        <v>540</v>
      </c>
      <c r="C266" s="87" t="s">
        <v>541</v>
      </c>
      <c r="D266" s="84"/>
      <c r="E266" s="3" t="s">
        <v>59</v>
      </c>
      <c r="F266" s="29">
        <v>122.61150000000001</v>
      </c>
      <c r="G266" s="29">
        <v>0</v>
      </c>
      <c r="H266" s="29">
        <f>F266*AO266</f>
        <v>0</v>
      </c>
      <c r="I266" s="29">
        <f>F266*AP266</f>
        <v>0</v>
      </c>
      <c r="J266" s="29">
        <f>F266*G266</f>
        <v>0</v>
      </c>
      <c r="K266" s="30" t="s">
        <v>250</v>
      </c>
      <c r="Z266" s="29">
        <f>IF(AQ266="5",BJ266,0)</f>
        <v>0</v>
      </c>
      <c r="AB266" s="29">
        <f>IF(AQ266="1",BH266,0)</f>
        <v>0</v>
      </c>
      <c r="AC266" s="29">
        <f>IF(AQ266="1",BI266,0)</f>
        <v>0</v>
      </c>
      <c r="AD266" s="29">
        <f>IF(AQ266="7",BH266,0)</f>
        <v>0</v>
      </c>
      <c r="AE266" s="29">
        <f>IF(AQ266="7",BI266,0)</f>
        <v>0</v>
      </c>
      <c r="AF266" s="29">
        <f>IF(AQ266="2",BH266,0)</f>
        <v>0</v>
      </c>
      <c r="AG266" s="29">
        <f>IF(AQ266="2",BI266,0)</f>
        <v>0</v>
      </c>
      <c r="AH266" s="29">
        <f>IF(AQ266="0",BJ266,0)</f>
        <v>0</v>
      </c>
      <c r="AI266" s="11" t="s">
        <v>433</v>
      </c>
      <c r="AJ266" s="29">
        <f>IF(AN266=0,J266,0)</f>
        <v>0</v>
      </c>
      <c r="AK266" s="29">
        <f>IF(AN266=12,J266,0)</f>
        <v>0</v>
      </c>
      <c r="AL266" s="29">
        <f>IF(AN266=21,J266,0)</f>
        <v>0</v>
      </c>
      <c r="AN266" s="29">
        <v>21</v>
      </c>
      <c r="AO266" s="29">
        <f>G266*1</f>
        <v>0</v>
      </c>
      <c r="AP266" s="29">
        <f>G266*(1-1)</f>
        <v>0</v>
      </c>
      <c r="AQ266" s="31" t="s">
        <v>56</v>
      </c>
      <c r="AV266" s="29">
        <f>AW266+AX266</f>
        <v>0</v>
      </c>
      <c r="AW266" s="29">
        <f>F266*AO266</f>
        <v>0</v>
      </c>
      <c r="AX266" s="29">
        <f>F266*AP266</f>
        <v>0</v>
      </c>
      <c r="AY266" s="31" t="s">
        <v>521</v>
      </c>
      <c r="AZ266" s="31" t="s">
        <v>522</v>
      </c>
      <c r="BA266" s="11" t="s">
        <v>439</v>
      </c>
      <c r="BC266" s="29">
        <f>AW266+AX266</f>
        <v>0</v>
      </c>
      <c r="BD266" s="29">
        <f>G266/(100-BE266)*100</f>
        <v>0</v>
      </c>
      <c r="BE266" s="29">
        <v>0</v>
      </c>
      <c r="BF266" s="29">
        <f>266</f>
        <v>266</v>
      </c>
      <c r="BH266" s="29">
        <f>F266*AO266</f>
        <v>0</v>
      </c>
      <c r="BI266" s="29">
        <f>F266*AP266</f>
        <v>0</v>
      </c>
      <c r="BJ266" s="29">
        <f>F266*G266</f>
        <v>0</v>
      </c>
      <c r="BK266" s="29"/>
      <c r="BL266" s="29">
        <v>56</v>
      </c>
      <c r="BW266" s="29">
        <v>21</v>
      </c>
      <c r="BX266" s="5" t="s">
        <v>541</v>
      </c>
    </row>
    <row r="267" spans="1:76" ht="14.4" x14ac:dyDescent="0.3">
      <c r="A267" s="32"/>
      <c r="C267" s="33" t="s">
        <v>542</v>
      </c>
      <c r="D267" s="33" t="s">
        <v>543</v>
      </c>
      <c r="F267" s="34">
        <v>111.465</v>
      </c>
      <c r="K267" s="35"/>
    </row>
    <row r="268" spans="1:76" ht="14.4" x14ac:dyDescent="0.3">
      <c r="A268" s="32"/>
      <c r="C268" s="33" t="s">
        <v>544</v>
      </c>
      <c r="D268" s="33" t="s">
        <v>51</v>
      </c>
      <c r="F268" s="34">
        <v>11.1465</v>
      </c>
      <c r="K268" s="35"/>
    </row>
    <row r="269" spans="1:76" ht="14.4" x14ac:dyDescent="0.3">
      <c r="A269" s="2" t="s">
        <v>545</v>
      </c>
      <c r="B269" s="3" t="s">
        <v>546</v>
      </c>
      <c r="C269" s="87" t="s">
        <v>547</v>
      </c>
      <c r="D269" s="84"/>
      <c r="E269" s="3" t="s">
        <v>59</v>
      </c>
      <c r="F269" s="29">
        <v>67.2</v>
      </c>
      <c r="G269" s="29">
        <v>0</v>
      </c>
      <c r="H269" s="29">
        <f>F269*AO269</f>
        <v>0</v>
      </c>
      <c r="I269" s="29">
        <f>F269*AP269</f>
        <v>0</v>
      </c>
      <c r="J269" s="29">
        <f>F269*G269</f>
        <v>0</v>
      </c>
      <c r="K269" s="30" t="s">
        <v>60</v>
      </c>
      <c r="Z269" s="29">
        <f>IF(AQ269="5",BJ269,0)</f>
        <v>0</v>
      </c>
      <c r="AB269" s="29">
        <f>IF(AQ269="1",BH269,0)</f>
        <v>0</v>
      </c>
      <c r="AC269" s="29">
        <f>IF(AQ269="1",BI269,0)</f>
        <v>0</v>
      </c>
      <c r="AD269" s="29">
        <f>IF(AQ269="7",BH269,0)</f>
        <v>0</v>
      </c>
      <c r="AE269" s="29">
        <f>IF(AQ269="7",BI269,0)</f>
        <v>0</v>
      </c>
      <c r="AF269" s="29">
        <f>IF(AQ269="2",BH269,0)</f>
        <v>0</v>
      </c>
      <c r="AG269" s="29">
        <f>IF(AQ269="2",BI269,0)</f>
        <v>0</v>
      </c>
      <c r="AH269" s="29">
        <f>IF(AQ269="0",BJ269,0)</f>
        <v>0</v>
      </c>
      <c r="AI269" s="11" t="s">
        <v>433</v>
      </c>
      <c r="AJ269" s="29">
        <f>IF(AN269=0,J269,0)</f>
        <v>0</v>
      </c>
      <c r="AK269" s="29">
        <f>IF(AN269=12,J269,0)</f>
        <v>0</v>
      </c>
      <c r="AL269" s="29">
        <f>IF(AN269=21,J269,0)</f>
        <v>0</v>
      </c>
      <c r="AN269" s="29">
        <v>21</v>
      </c>
      <c r="AO269" s="29">
        <f>G269*1</f>
        <v>0</v>
      </c>
      <c r="AP269" s="29">
        <f>G269*(1-1)</f>
        <v>0</v>
      </c>
      <c r="AQ269" s="31" t="s">
        <v>56</v>
      </c>
      <c r="AV269" s="29">
        <f>AW269+AX269</f>
        <v>0</v>
      </c>
      <c r="AW269" s="29">
        <f>F269*AO269</f>
        <v>0</v>
      </c>
      <c r="AX269" s="29">
        <f>F269*AP269</f>
        <v>0</v>
      </c>
      <c r="AY269" s="31" t="s">
        <v>521</v>
      </c>
      <c r="AZ269" s="31" t="s">
        <v>522</v>
      </c>
      <c r="BA269" s="11" t="s">
        <v>439</v>
      </c>
      <c r="BC269" s="29">
        <f>AW269+AX269</f>
        <v>0</v>
      </c>
      <c r="BD269" s="29">
        <f>G269/(100-BE269)*100</f>
        <v>0</v>
      </c>
      <c r="BE269" s="29">
        <v>0</v>
      </c>
      <c r="BF269" s="29">
        <f>269</f>
        <v>269</v>
      </c>
      <c r="BH269" s="29">
        <f>F269*AO269</f>
        <v>0</v>
      </c>
      <c r="BI269" s="29">
        <f>F269*AP269</f>
        <v>0</v>
      </c>
      <c r="BJ269" s="29">
        <f>F269*G269</f>
        <v>0</v>
      </c>
      <c r="BK269" s="29"/>
      <c r="BL269" s="29">
        <v>56</v>
      </c>
      <c r="BW269" s="29">
        <v>21</v>
      </c>
      <c r="BX269" s="5" t="s">
        <v>547</v>
      </c>
    </row>
    <row r="270" spans="1:76" ht="14.4" x14ac:dyDescent="0.3">
      <c r="A270" s="32"/>
      <c r="C270" s="33" t="s">
        <v>536</v>
      </c>
      <c r="D270" s="33" t="s">
        <v>537</v>
      </c>
      <c r="F270" s="34">
        <v>18.5</v>
      </c>
      <c r="K270" s="35"/>
    </row>
    <row r="271" spans="1:76" ht="14.4" x14ac:dyDescent="0.3">
      <c r="A271" s="32"/>
      <c r="C271" s="33" t="s">
        <v>548</v>
      </c>
      <c r="D271" s="33" t="s">
        <v>308</v>
      </c>
      <c r="F271" s="34">
        <v>22.75</v>
      </c>
      <c r="K271" s="35"/>
    </row>
    <row r="272" spans="1:76" ht="14.4" x14ac:dyDescent="0.3">
      <c r="A272" s="32"/>
      <c r="C272" s="33" t="s">
        <v>548</v>
      </c>
      <c r="D272" s="33" t="s">
        <v>309</v>
      </c>
      <c r="F272" s="34">
        <v>22.75</v>
      </c>
      <c r="K272" s="35"/>
    </row>
    <row r="273" spans="1:76" ht="14.4" x14ac:dyDescent="0.3">
      <c r="A273" s="32"/>
      <c r="C273" s="33" t="s">
        <v>549</v>
      </c>
      <c r="D273" s="33" t="s">
        <v>51</v>
      </c>
      <c r="F273" s="34">
        <v>3.2</v>
      </c>
      <c r="K273" s="35"/>
    </row>
    <row r="274" spans="1:76" ht="14.4" x14ac:dyDescent="0.3">
      <c r="A274" s="2" t="s">
        <v>550</v>
      </c>
      <c r="B274" s="3" t="s">
        <v>551</v>
      </c>
      <c r="C274" s="87" t="s">
        <v>552</v>
      </c>
      <c r="D274" s="84"/>
      <c r="E274" s="3" t="s">
        <v>59</v>
      </c>
      <c r="F274" s="29">
        <v>10.715</v>
      </c>
      <c r="G274" s="29">
        <v>0</v>
      </c>
      <c r="H274" s="29">
        <f>F274*AO274</f>
        <v>0</v>
      </c>
      <c r="I274" s="29">
        <f>F274*AP274</f>
        <v>0</v>
      </c>
      <c r="J274" s="29">
        <f>F274*G274</f>
        <v>0</v>
      </c>
      <c r="K274" s="30" t="s">
        <v>60</v>
      </c>
      <c r="Z274" s="29">
        <f>IF(AQ274="5",BJ274,0)</f>
        <v>0</v>
      </c>
      <c r="AB274" s="29">
        <f>IF(AQ274="1",BH274,0)</f>
        <v>0</v>
      </c>
      <c r="AC274" s="29">
        <f>IF(AQ274="1",BI274,0)</f>
        <v>0</v>
      </c>
      <c r="AD274" s="29">
        <f>IF(AQ274="7",BH274,0)</f>
        <v>0</v>
      </c>
      <c r="AE274" s="29">
        <f>IF(AQ274="7",BI274,0)</f>
        <v>0</v>
      </c>
      <c r="AF274" s="29">
        <f>IF(AQ274="2",BH274,0)</f>
        <v>0</v>
      </c>
      <c r="AG274" s="29">
        <f>IF(AQ274="2",BI274,0)</f>
        <v>0</v>
      </c>
      <c r="AH274" s="29">
        <f>IF(AQ274="0",BJ274,0)</f>
        <v>0</v>
      </c>
      <c r="AI274" s="11" t="s">
        <v>433</v>
      </c>
      <c r="AJ274" s="29">
        <f>IF(AN274=0,J274,0)</f>
        <v>0</v>
      </c>
      <c r="AK274" s="29">
        <f>IF(AN274=12,J274,0)</f>
        <v>0</v>
      </c>
      <c r="AL274" s="29">
        <f>IF(AN274=21,J274,0)</f>
        <v>0</v>
      </c>
      <c r="AN274" s="29">
        <v>21</v>
      </c>
      <c r="AO274" s="29">
        <f>G274*0.815321394</f>
        <v>0</v>
      </c>
      <c r="AP274" s="29">
        <f>G274*(1-0.815321394)</f>
        <v>0</v>
      </c>
      <c r="AQ274" s="31" t="s">
        <v>56</v>
      </c>
      <c r="AV274" s="29">
        <f>AW274+AX274</f>
        <v>0</v>
      </c>
      <c r="AW274" s="29">
        <f>F274*AO274</f>
        <v>0</v>
      </c>
      <c r="AX274" s="29">
        <f>F274*AP274</f>
        <v>0</v>
      </c>
      <c r="AY274" s="31" t="s">
        <v>521</v>
      </c>
      <c r="AZ274" s="31" t="s">
        <v>522</v>
      </c>
      <c r="BA274" s="11" t="s">
        <v>439</v>
      </c>
      <c r="BC274" s="29">
        <f>AW274+AX274</f>
        <v>0</v>
      </c>
      <c r="BD274" s="29">
        <f>G274/(100-BE274)*100</f>
        <v>0</v>
      </c>
      <c r="BE274" s="29">
        <v>0</v>
      </c>
      <c r="BF274" s="29">
        <f>274</f>
        <v>274</v>
      </c>
      <c r="BH274" s="29">
        <f>F274*AO274</f>
        <v>0</v>
      </c>
      <c r="BI274" s="29">
        <f>F274*AP274</f>
        <v>0</v>
      </c>
      <c r="BJ274" s="29">
        <f>F274*G274</f>
        <v>0</v>
      </c>
      <c r="BK274" s="29"/>
      <c r="BL274" s="29">
        <v>56</v>
      </c>
      <c r="BW274" s="29">
        <v>21</v>
      </c>
      <c r="BX274" s="5" t="s">
        <v>552</v>
      </c>
    </row>
    <row r="275" spans="1:76" ht="14.4" x14ac:dyDescent="0.3">
      <c r="A275" s="32"/>
      <c r="C275" s="33" t="s">
        <v>528</v>
      </c>
      <c r="D275" s="33" t="s">
        <v>529</v>
      </c>
      <c r="F275" s="34">
        <v>10.715</v>
      </c>
      <c r="K275" s="35"/>
    </row>
    <row r="276" spans="1:76" ht="14.4" x14ac:dyDescent="0.3">
      <c r="A276" s="2" t="s">
        <v>553</v>
      </c>
      <c r="B276" s="3" t="s">
        <v>554</v>
      </c>
      <c r="C276" s="87" t="s">
        <v>555</v>
      </c>
      <c r="D276" s="84"/>
      <c r="E276" s="3" t="s">
        <v>59</v>
      </c>
      <c r="F276" s="29">
        <v>100.75</v>
      </c>
      <c r="G276" s="29">
        <v>0</v>
      </c>
      <c r="H276" s="29">
        <f>F276*AO276</f>
        <v>0</v>
      </c>
      <c r="I276" s="29">
        <f>F276*AP276</f>
        <v>0</v>
      </c>
      <c r="J276" s="29">
        <f>F276*G276</f>
        <v>0</v>
      </c>
      <c r="K276" s="30" t="s">
        <v>60</v>
      </c>
      <c r="Z276" s="29">
        <f>IF(AQ276="5",BJ276,0)</f>
        <v>0</v>
      </c>
      <c r="AB276" s="29">
        <f>IF(AQ276="1",BH276,0)</f>
        <v>0</v>
      </c>
      <c r="AC276" s="29">
        <f>IF(AQ276="1",BI276,0)</f>
        <v>0</v>
      </c>
      <c r="AD276" s="29">
        <f>IF(AQ276="7",BH276,0)</f>
        <v>0</v>
      </c>
      <c r="AE276" s="29">
        <f>IF(AQ276="7",BI276,0)</f>
        <v>0</v>
      </c>
      <c r="AF276" s="29">
        <f>IF(AQ276="2",BH276,0)</f>
        <v>0</v>
      </c>
      <c r="AG276" s="29">
        <f>IF(AQ276="2",BI276,0)</f>
        <v>0</v>
      </c>
      <c r="AH276" s="29">
        <f>IF(AQ276="0",BJ276,0)</f>
        <v>0</v>
      </c>
      <c r="AI276" s="11" t="s">
        <v>433</v>
      </c>
      <c r="AJ276" s="29">
        <f>IF(AN276=0,J276,0)</f>
        <v>0</v>
      </c>
      <c r="AK276" s="29">
        <f>IF(AN276=12,J276,0)</f>
        <v>0</v>
      </c>
      <c r="AL276" s="29">
        <f>IF(AN276=21,J276,0)</f>
        <v>0</v>
      </c>
      <c r="AN276" s="29">
        <v>21</v>
      </c>
      <c r="AO276" s="29">
        <f>G276*0.835624563</f>
        <v>0</v>
      </c>
      <c r="AP276" s="29">
        <f>G276*(1-0.835624563)</f>
        <v>0</v>
      </c>
      <c r="AQ276" s="31" t="s">
        <v>56</v>
      </c>
      <c r="AV276" s="29">
        <f>AW276+AX276</f>
        <v>0</v>
      </c>
      <c r="AW276" s="29">
        <f>F276*AO276</f>
        <v>0</v>
      </c>
      <c r="AX276" s="29">
        <f>F276*AP276</f>
        <v>0</v>
      </c>
      <c r="AY276" s="31" t="s">
        <v>521</v>
      </c>
      <c r="AZ276" s="31" t="s">
        <v>522</v>
      </c>
      <c r="BA276" s="11" t="s">
        <v>439</v>
      </c>
      <c r="BC276" s="29">
        <f>AW276+AX276</f>
        <v>0</v>
      </c>
      <c r="BD276" s="29">
        <f>G276/(100-BE276)*100</f>
        <v>0</v>
      </c>
      <c r="BE276" s="29">
        <v>0</v>
      </c>
      <c r="BF276" s="29">
        <f>276</f>
        <v>276</v>
      </c>
      <c r="BH276" s="29">
        <f>F276*AO276</f>
        <v>0</v>
      </c>
      <c r="BI276" s="29">
        <f>F276*AP276</f>
        <v>0</v>
      </c>
      <c r="BJ276" s="29">
        <f>F276*G276</f>
        <v>0</v>
      </c>
      <c r="BK276" s="29"/>
      <c r="BL276" s="29">
        <v>56</v>
      </c>
      <c r="BW276" s="29">
        <v>21</v>
      </c>
      <c r="BX276" s="5" t="s">
        <v>555</v>
      </c>
    </row>
    <row r="277" spans="1:76" ht="14.4" x14ac:dyDescent="0.3">
      <c r="A277" s="32"/>
      <c r="C277" s="33" t="s">
        <v>51</v>
      </c>
      <c r="D277" s="33" t="s">
        <v>523</v>
      </c>
      <c r="F277" s="34">
        <v>0</v>
      </c>
      <c r="K277" s="35"/>
    </row>
    <row r="278" spans="1:76" ht="14.4" x14ac:dyDescent="0.3">
      <c r="A278" s="32"/>
      <c r="C278" s="33" t="s">
        <v>524</v>
      </c>
      <c r="D278" s="33" t="s">
        <v>525</v>
      </c>
      <c r="F278" s="34">
        <v>66.95</v>
      </c>
      <c r="K278" s="35"/>
    </row>
    <row r="279" spans="1:76" ht="14.4" x14ac:dyDescent="0.3">
      <c r="A279" s="32"/>
      <c r="C279" s="33" t="s">
        <v>526</v>
      </c>
      <c r="D279" s="33" t="s">
        <v>527</v>
      </c>
      <c r="F279" s="34">
        <v>33.799999999999997</v>
      </c>
      <c r="K279" s="35"/>
    </row>
    <row r="280" spans="1:76" ht="14.4" x14ac:dyDescent="0.3">
      <c r="A280" s="2" t="s">
        <v>556</v>
      </c>
      <c r="B280" s="3" t="s">
        <v>557</v>
      </c>
      <c r="C280" s="87" t="s">
        <v>558</v>
      </c>
      <c r="D280" s="84"/>
      <c r="E280" s="3" t="s">
        <v>59</v>
      </c>
      <c r="F280" s="29">
        <v>41.75</v>
      </c>
      <c r="G280" s="29">
        <v>0</v>
      </c>
      <c r="H280" s="29">
        <f>F280*AO280</f>
        <v>0</v>
      </c>
      <c r="I280" s="29">
        <f>F280*AP280</f>
        <v>0</v>
      </c>
      <c r="J280" s="29">
        <f>F280*G280</f>
        <v>0</v>
      </c>
      <c r="K280" s="30" t="s">
        <v>60</v>
      </c>
      <c r="Z280" s="29">
        <f>IF(AQ280="5",BJ280,0)</f>
        <v>0</v>
      </c>
      <c r="AB280" s="29">
        <f>IF(AQ280="1",BH280,0)</f>
        <v>0</v>
      </c>
      <c r="AC280" s="29">
        <f>IF(AQ280="1",BI280,0)</f>
        <v>0</v>
      </c>
      <c r="AD280" s="29">
        <f>IF(AQ280="7",BH280,0)</f>
        <v>0</v>
      </c>
      <c r="AE280" s="29">
        <f>IF(AQ280="7",BI280,0)</f>
        <v>0</v>
      </c>
      <c r="AF280" s="29">
        <f>IF(AQ280="2",BH280,0)</f>
        <v>0</v>
      </c>
      <c r="AG280" s="29">
        <f>IF(AQ280="2",BI280,0)</f>
        <v>0</v>
      </c>
      <c r="AH280" s="29">
        <f>IF(AQ280="0",BJ280,0)</f>
        <v>0</v>
      </c>
      <c r="AI280" s="11" t="s">
        <v>433</v>
      </c>
      <c r="AJ280" s="29">
        <f>IF(AN280=0,J280,0)</f>
        <v>0</v>
      </c>
      <c r="AK280" s="29">
        <f>IF(AN280=12,J280,0)</f>
        <v>0</v>
      </c>
      <c r="AL280" s="29">
        <f>IF(AN280=21,J280,0)</f>
        <v>0</v>
      </c>
      <c r="AN280" s="29">
        <v>21</v>
      </c>
      <c r="AO280" s="29">
        <f>G280*0</f>
        <v>0</v>
      </c>
      <c r="AP280" s="29">
        <f>G280*(1-0)</f>
        <v>0</v>
      </c>
      <c r="AQ280" s="31" t="s">
        <v>56</v>
      </c>
      <c r="AV280" s="29">
        <f>AW280+AX280</f>
        <v>0</v>
      </c>
      <c r="AW280" s="29">
        <f>F280*AO280</f>
        <v>0</v>
      </c>
      <c r="AX280" s="29">
        <f>F280*AP280</f>
        <v>0</v>
      </c>
      <c r="AY280" s="31" t="s">
        <v>521</v>
      </c>
      <c r="AZ280" s="31" t="s">
        <v>522</v>
      </c>
      <c r="BA280" s="11" t="s">
        <v>439</v>
      </c>
      <c r="BC280" s="29">
        <f>AW280+AX280</f>
        <v>0</v>
      </c>
      <c r="BD280" s="29">
        <f>G280/(100-BE280)*100</f>
        <v>0</v>
      </c>
      <c r="BE280" s="29">
        <v>0</v>
      </c>
      <c r="BF280" s="29">
        <f>280</f>
        <v>280</v>
      </c>
      <c r="BH280" s="29">
        <f>F280*AO280</f>
        <v>0</v>
      </c>
      <c r="BI280" s="29">
        <f>F280*AP280</f>
        <v>0</v>
      </c>
      <c r="BJ280" s="29">
        <f>F280*G280</f>
        <v>0</v>
      </c>
      <c r="BK280" s="29"/>
      <c r="BL280" s="29">
        <v>56</v>
      </c>
      <c r="BW280" s="29">
        <v>21</v>
      </c>
      <c r="BX280" s="5" t="s">
        <v>558</v>
      </c>
    </row>
    <row r="281" spans="1:76" ht="14.4" x14ac:dyDescent="0.3">
      <c r="A281" s="32"/>
      <c r="C281" s="33" t="s">
        <v>559</v>
      </c>
      <c r="D281" s="33" t="s">
        <v>484</v>
      </c>
      <c r="F281" s="34">
        <v>16.25</v>
      </c>
      <c r="K281" s="35"/>
    </row>
    <row r="282" spans="1:76" ht="14.4" x14ac:dyDescent="0.3">
      <c r="A282" s="32"/>
      <c r="C282" s="33" t="s">
        <v>559</v>
      </c>
      <c r="D282" s="33" t="s">
        <v>486</v>
      </c>
      <c r="F282" s="34">
        <v>16.25</v>
      </c>
      <c r="K282" s="35"/>
    </row>
    <row r="283" spans="1:76" ht="14.4" x14ac:dyDescent="0.3">
      <c r="A283" s="32"/>
      <c r="C283" s="33" t="s">
        <v>560</v>
      </c>
      <c r="D283" s="33" t="s">
        <v>488</v>
      </c>
      <c r="F283" s="34">
        <v>9.25</v>
      </c>
      <c r="K283" s="35"/>
    </row>
    <row r="284" spans="1:76" ht="14.4" x14ac:dyDescent="0.3">
      <c r="A284" s="2" t="s">
        <v>561</v>
      </c>
      <c r="B284" s="3" t="s">
        <v>562</v>
      </c>
      <c r="C284" s="87" t="s">
        <v>563</v>
      </c>
      <c r="D284" s="84"/>
      <c r="E284" s="3" t="s">
        <v>59</v>
      </c>
      <c r="F284" s="29">
        <v>100.75</v>
      </c>
      <c r="G284" s="29">
        <v>0</v>
      </c>
      <c r="H284" s="29">
        <f>F284*AO284</f>
        <v>0</v>
      </c>
      <c r="I284" s="29">
        <f>F284*AP284</f>
        <v>0</v>
      </c>
      <c r="J284" s="29">
        <f>F284*G284</f>
        <v>0</v>
      </c>
      <c r="K284" s="30" t="s">
        <v>60</v>
      </c>
      <c r="Z284" s="29">
        <f>IF(AQ284="5",BJ284,0)</f>
        <v>0</v>
      </c>
      <c r="AB284" s="29">
        <f>IF(AQ284="1",BH284,0)</f>
        <v>0</v>
      </c>
      <c r="AC284" s="29">
        <f>IF(AQ284="1",BI284,0)</f>
        <v>0</v>
      </c>
      <c r="AD284" s="29">
        <f>IF(AQ284="7",BH284,0)</f>
        <v>0</v>
      </c>
      <c r="AE284" s="29">
        <f>IF(AQ284="7",BI284,0)</f>
        <v>0</v>
      </c>
      <c r="AF284" s="29">
        <f>IF(AQ284="2",BH284,0)</f>
        <v>0</v>
      </c>
      <c r="AG284" s="29">
        <f>IF(AQ284="2",BI284,0)</f>
        <v>0</v>
      </c>
      <c r="AH284" s="29">
        <f>IF(AQ284="0",BJ284,0)</f>
        <v>0</v>
      </c>
      <c r="AI284" s="11" t="s">
        <v>433</v>
      </c>
      <c r="AJ284" s="29">
        <f>IF(AN284=0,J284,0)</f>
        <v>0</v>
      </c>
      <c r="AK284" s="29">
        <f>IF(AN284=12,J284,0)</f>
        <v>0</v>
      </c>
      <c r="AL284" s="29">
        <f>IF(AN284=21,J284,0)</f>
        <v>0</v>
      </c>
      <c r="AN284" s="29">
        <v>21</v>
      </c>
      <c r="AO284" s="29">
        <f>G284*0.925148026</f>
        <v>0</v>
      </c>
      <c r="AP284" s="29">
        <f>G284*(1-0.925148026)</f>
        <v>0</v>
      </c>
      <c r="AQ284" s="31" t="s">
        <v>56</v>
      </c>
      <c r="AV284" s="29">
        <f>AW284+AX284</f>
        <v>0</v>
      </c>
      <c r="AW284" s="29">
        <f>F284*AO284</f>
        <v>0</v>
      </c>
      <c r="AX284" s="29">
        <f>F284*AP284</f>
        <v>0</v>
      </c>
      <c r="AY284" s="31" t="s">
        <v>521</v>
      </c>
      <c r="AZ284" s="31" t="s">
        <v>522</v>
      </c>
      <c r="BA284" s="11" t="s">
        <v>439</v>
      </c>
      <c r="BC284" s="29">
        <f>AW284+AX284</f>
        <v>0</v>
      </c>
      <c r="BD284" s="29">
        <f>G284/(100-BE284)*100</f>
        <v>0</v>
      </c>
      <c r="BE284" s="29">
        <v>0</v>
      </c>
      <c r="BF284" s="29">
        <f>284</f>
        <v>284</v>
      </c>
      <c r="BH284" s="29">
        <f>F284*AO284</f>
        <v>0</v>
      </c>
      <c r="BI284" s="29">
        <f>F284*AP284</f>
        <v>0</v>
      </c>
      <c r="BJ284" s="29">
        <f>F284*G284</f>
        <v>0</v>
      </c>
      <c r="BK284" s="29"/>
      <c r="BL284" s="29">
        <v>56</v>
      </c>
      <c r="BW284" s="29">
        <v>21</v>
      </c>
      <c r="BX284" s="5" t="s">
        <v>563</v>
      </c>
    </row>
    <row r="285" spans="1:76" ht="14.4" x14ac:dyDescent="0.3">
      <c r="A285" s="32"/>
      <c r="C285" s="33" t="s">
        <v>51</v>
      </c>
      <c r="D285" s="33" t="s">
        <v>523</v>
      </c>
      <c r="F285" s="34">
        <v>0</v>
      </c>
      <c r="K285" s="35"/>
    </row>
    <row r="286" spans="1:76" ht="14.4" x14ac:dyDescent="0.3">
      <c r="A286" s="32"/>
      <c r="C286" s="33" t="s">
        <v>524</v>
      </c>
      <c r="D286" s="33" t="s">
        <v>525</v>
      </c>
      <c r="F286" s="34">
        <v>66.95</v>
      </c>
      <c r="K286" s="35"/>
    </row>
    <row r="287" spans="1:76" ht="14.4" x14ac:dyDescent="0.3">
      <c r="A287" s="32"/>
      <c r="C287" s="33" t="s">
        <v>526</v>
      </c>
      <c r="D287" s="33" t="s">
        <v>527</v>
      </c>
      <c r="F287" s="34">
        <v>33.799999999999997</v>
      </c>
      <c r="K287" s="35"/>
    </row>
    <row r="288" spans="1:76" ht="14.4" x14ac:dyDescent="0.3">
      <c r="A288" s="2" t="s">
        <v>564</v>
      </c>
      <c r="B288" s="3" t="s">
        <v>565</v>
      </c>
      <c r="C288" s="87" t="s">
        <v>566</v>
      </c>
      <c r="D288" s="84"/>
      <c r="E288" s="3" t="s">
        <v>59</v>
      </c>
      <c r="F288" s="29">
        <v>84.5</v>
      </c>
      <c r="G288" s="29">
        <v>0</v>
      </c>
      <c r="H288" s="29">
        <f>F288*AO288</f>
        <v>0</v>
      </c>
      <c r="I288" s="29">
        <f>F288*AP288</f>
        <v>0</v>
      </c>
      <c r="J288" s="29">
        <f>F288*G288</f>
        <v>0</v>
      </c>
      <c r="K288" s="30" t="s">
        <v>60</v>
      </c>
      <c r="Z288" s="29">
        <f>IF(AQ288="5",BJ288,0)</f>
        <v>0</v>
      </c>
      <c r="AB288" s="29">
        <f>IF(AQ288="1",BH288,0)</f>
        <v>0</v>
      </c>
      <c r="AC288" s="29">
        <f>IF(AQ288="1",BI288,0)</f>
        <v>0</v>
      </c>
      <c r="AD288" s="29">
        <f>IF(AQ288="7",BH288,0)</f>
        <v>0</v>
      </c>
      <c r="AE288" s="29">
        <f>IF(AQ288="7",BI288,0)</f>
        <v>0</v>
      </c>
      <c r="AF288" s="29">
        <f>IF(AQ288="2",BH288,0)</f>
        <v>0</v>
      </c>
      <c r="AG288" s="29">
        <f>IF(AQ288="2",BI288,0)</f>
        <v>0</v>
      </c>
      <c r="AH288" s="29">
        <f>IF(AQ288="0",BJ288,0)</f>
        <v>0</v>
      </c>
      <c r="AI288" s="11" t="s">
        <v>433</v>
      </c>
      <c r="AJ288" s="29">
        <f>IF(AN288=0,J288,0)</f>
        <v>0</v>
      </c>
      <c r="AK288" s="29">
        <f>IF(AN288=12,J288,0)</f>
        <v>0</v>
      </c>
      <c r="AL288" s="29">
        <f>IF(AN288=21,J288,0)</f>
        <v>0</v>
      </c>
      <c r="AN288" s="29">
        <v>21</v>
      </c>
      <c r="AO288" s="29">
        <f>G288*0.84042735</f>
        <v>0</v>
      </c>
      <c r="AP288" s="29">
        <f>G288*(1-0.84042735)</f>
        <v>0</v>
      </c>
      <c r="AQ288" s="31" t="s">
        <v>56</v>
      </c>
      <c r="AV288" s="29">
        <f>AW288+AX288</f>
        <v>0</v>
      </c>
      <c r="AW288" s="29">
        <f>F288*AO288</f>
        <v>0</v>
      </c>
      <c r="AX288" s="29">
        <f>F288*AP288</f>
        <v>0</v>
      </c>
      <c r="AY288" s="31" t="s">
        <v>521</v>
      </c>
      <c r="AZ288" s="31" t="s">
        <v>522</v>
      </c>
      <c r="BA288" s="11" t="s">
        <v>439</v>
      </c>
      <c r="BC288" s="29">
        <f>AW288+AX288</f>
        <v>0</v>
      </c>
      <c r="BD288" s="29">
        <f>G288/(100-BE288)*100</f>
        <v>0</v>
      </c>
      <c r="BE288" s="29">
        <v>0</v>
      </c>
      <c r="BF288" s="29">
        <f>288</f>
        <v>288</v>
      </c>
      <c r="BH288" s="29">
        <f>F288*AO288</f>
        <v>0</v>
      </c>
      <c r="BI288" s="29">
        <f>F288*AP288</f>
        <v>0</v>
      </c>
      <c r="BJ288" s="29">
        <f>F288*G288</f>
        <v>0</v>
      </c>
      <c r="BK288" s="29"/>
      <c r="BL288" s="29">
        <v>56</v>
      </c>
      <c r="BW288" s="29">
        <v>21</v>
      </c>
      <c r="BX288" s="5" t="s">
        <v>566</v>
      </c>
    </row>
    <row r="289" spans="1:76" ht="14.4" x14ac:dyDescent="0.3">
      <c r="A289" s="32"/>
      <c r="C289" s="33" t="s">
        <v>51</v>
      </c>
      <c r="D289" s="33" t="s">
        <v>523</v>
      </c>
      <c r="F289" s="34">
        <v>0</v>
      </c>
      <c r="K289" s="35"/>
    </row>
    <row r="290" spans="1:76" ht="14.4" x14ac:dyDescent="0.3">
      <c r="A290" s="32"/>
      <c r="C290" s="33" t="s">
        <v>567</v>
      </c>
      <c r="D290" s="33" t="s">
        <v>525</v>
      </c>
      <c r="F290" s="34">
        <v>58.825000000000003</v>
      </c>
      <c r="K290" s="35"/>
    </row>
    <row r="291" spans="1:76" ht="14.4" x14ac:dyDescent="0.3">
      <c r="A291" s="32"/>
      <c r="C291" s="33" t="s">
        <v>568</v>
      </c>
      <c r="D291" s="33" t="s">
        <v>527</v>
      </c>
      <c r="F291" s="34">
        <v>25.675000000000001</v>
      </c>
      <c r="K291" s="35"/>
    </row>
    <row r="292" spans="1:76" ht="14.4" x14ac:dyDescent="0.3">
      <c r="A292" s="2" t="s">
        <v>569</v>
      </c>
      <c r="B292" s="3" t="s">
        <v>570</v>
      </c>
      <c r="C292" s="87" t="s">
        <v>571</v>
      </c>
      <c r="D292" s="84"/>
      <c r="E292" s="3" t="s">
        <v>59</v>
      </c>
      <c r="F292" s="29">
        <v>10.715</v>
      </c>
      <c r="G292" s="29">
        <v>0</v>
      </c>
      <c r="H292" s="29">
        <f>F292*AO292</f>
        <v>0</v>
      </c>
      <c r="I292" s="29">
        <f>F292*AP292</f>
        <v>0</v>
      </c>
      <c r="J292" s="29">
        <f>F292*G292</f>
        <v>0</v>
      </c>
      <c r="K292" s="30" t="s">
        <v>60</v>
      </c>
      <c r="Z292" s="29">
        <f>IF(AQ292="5",BJ292,0)</f>
        <v>0</v>
      </c>
      <c r="AB292" s="29">
        <f>IF(AQ292="1",BH292,0)</f>
        <v>0</v>
      </c>
      <c r="AC292" s="29">
        <f>IF(AQ292="1",BI292,0)</f>
        <v>0</v>
      </c>
      <c r="AD292" s="29">
        <f>IF(AQ292="7",BH292,0)</f>
        <v>0</v>
      </c>
      <c r="AE292" s="29">
        <f>IF(AQ292="7",BI292,0)</f>
        <v>0</v>
      </c>
      <c r="AF292" s="29">
        <f>IF(AQ292="2",BH292,0)</f>
        <v>0</v>
      </c>
      <c r="AG292" s="29">
        <f>IF(AQ292="2",BI292,0)</f>
        <v>0</v>
      </c>
      <c r="AH292" s="29">
        <f>IF(AQ292="0",BJ292,0)</f>
        <v>0</v>
      </c>
      <c r="AI292" s="11" t="s">
        <v>433</v>
      </c>
      <c r="AJ292" s="29">
        <f>IF(AN292=0,J292,0)</f>
        <v>0</v>
      </c>
      <c r="AK292" s="29">
        <f>IF(AN292=12,J292,0)</f>
        <v>0</v>
      </c>
      <c r="AL292" s="29">
        <f>IF(AN292=21,J292,0)</f>
        <v>0</v>
      </c>
      <c r="AN292" s="29">
        <v>21</v>
      </c>
      <c r="AO292" s="29">
        <f>G292*0.698633012</f>
        <v>0</v>
      </c>
      <c r="AP292" s="29">
        <f>G292*(1-0.698633012)</f>
        <v>0</v>
      </c>
      <c r="AQ292" s="31" t="s">
        <v>56</v>
      </c>
      <c r="AV292" s="29">
        <f>AW292+AX292</f>
        <v>0</v>
      </c>
      <c r="AW292" s="29">
        <f>F292*AO292</f>
        <v>0</v>
      </c>
      <c r="AX292" s="29">
        <f>F292*AP292</f>
        <v>0</v>
      </c>
      <c r="AY292" s="31" t="s">
        <v>521</v>
      </c>
      <c r="AZ292" s="31" t="s">
        <v>522</v>
      </c>
      <c r="BA292" s="11" t="s">
        <v>439</v>
      </c>
      <c r="BC292" s="29">
        <f>AW292+AX292</f>
        <v>0</v>
      </c>
      <c r="BD292" s="29">
        <f>G292/(100-BE292)*100</f>
        <v>0</v>
      </c>
      <c r="BE292" s="29">
        <v>0</v>
      </c>
      <c r="BF292" s="29">
        <f>292</f>
        <v>292</v>
      </c>
      <c r="BH292" s="29">
        <f>F292*AO292</f>
        <v>0</v>
      </c>
      <c r="BI292" s="29">
        <f>F292*AP292</f>
        <v>0</v>
      </c>
      <c r="BJ292" s="29">
        <f>F292*G292</f>
        <v>0</v>
      </c>
      <c r="BK292" s="29"/>
      <c r="BL292" s="29">
        <v>56</v>
      </c>
      <c r="BW292" s="29">
        <v>21</v>
      </c>
      <c r="BX292" s="5" t="s">
        <v>571</v>
      </c>
    </row>
    <row r="293" spans="1:76" ht="14.4" x14ac:dyDescent="0.3">
      <c r="A293" s="32"/>
      <c r="C293" s="33" t="s">
        <v>528</v>
      </c>
      <c r="D293" s="33" t="s">
        <v>529</v>
      </c>
      <c r="F293" s="34">
        <v>10.715</v>
      </c>
      <c r="K293" s="35"/>
    </row>
    <row r="294" spans="1:76" ht="14.4" x14ac:dyDescent="0.3">
      <c r="A294" s="2" t="s">
        <v>572</v>
      </c>
      <c r="B294" s="3" t="s">
        <v>573</v>
      </c>
      <c r="C294" s="87" t="s">
        <v>574</v>
      </c>
      <c r="D294" s="84"/>
      <c r="E294" s="3" t="s">
        <v>59</v>
      </c>
      <c r="F294" s="29">
        <v>179.405</v>
      </c>
      <c r="G294" s="29">
        <v>0</v>
      </c>
      <c r="H294" s="29">
        <f>F294*AO294</f>
        <v>0</v>
      </c>
      <c r="I294" s="29">
        <f>F294*AP294</f>
        <v>0</v>
      </c>
      <c r="J294" s="29">
        <f>F294*G294</f>
        <v>0</v>
      </c>
      <c r="K294" s="30" t="s">
        <v>60</v>
      </c>
      <c r="Z294" s="29">
        <f>IF(AQ294="5",BJ294,0)</f>
        <v>0</v>
      </c>
      <c r="AB294" s="29">
        <f>IF(AQ294="1",BH294,0)</f>
        <v>0</v>
      </c>
      <c r="AC294" s="29">
        <f>IF(AQ294="1",BI294,0)</f>
        <v>0</v>
      </c>
      <c r="AD294" s="29">
        <f>IF(AQ294="7",BH294,0)</f>
        <v>0</v>
      </c>
      <c r="AE294" s="29">
        <f>IF(AQ294="7",BI294,0)</f>
        <v>0</v>
      </c>
      <c r="AF294" s="29">
        <f>IF(AQ294="2",BH294,0)</f>
        <v>0</v>
      </c>
      <c r="AG294" s="29">
        <f>IF(AQ294="2",BI294,0)</f>
        <v>0</v>
      </c>
      <c r="AH294" s="29">
        <f>IF(AQ294="0",BJ294,0)</f>
        <v>0</v>
      </c>
      <c r="AI294" s="11" t="s">
        <v>433</v>
      </c>
      <c r="AJ294" s="29">
        <f>IF(AN294=0,J294,0)</f>
        <v>0</v>
      </c>
      <c r="AK294" s="29">
        <f>IF(AN294=12,J294,0)</f>
        <v>0</v>
      </c>
      <c r="AL294" s="29">
        <f>IF(AN294=21,J294,0)</f>
        <v>0</v>
      </c>
      <c r="AN294" s="29">
        <v>21</v>
      </c>
      <c r="AO294" s="29">
        <f>G294*0.825526316</f>
        <v>0</v>
      </c>
      <c r="AP294" s="29">
        <f>G294*(1-0.825526316)</f>
        <v>0</v>
      </c>
      <c r="AQ294" s="31" t="s">
        <v>56</v>
      </c>
      <c r="AV294" s="29">
        <f>AW294+AX294</f>
        <v>0</v>
      </c>
      <c r="AW294" s="29">
        <f>F294*AO294</f>
        <v>0</v>
      </c>
      <c r="AX294" s="29">
        <f>F294*AP294</f>
        <v>0</v>
      </c>
      <c r="AY294" s="31" t="s">
        <v>521</v>
      </c>
      <c r="AZ294" s="31" t="s">
        <v>522</v>
      </c>
      <c r="BA294" s="11" t="s">
        <v>439</v>
      </c>
      <c r="BC294" s="29">
        <f>AW294+AX294</f>
        <v>0</v>
      </c>
      <c r="BD294" s="29">
        <f>G294/(100-BE294)*100</f>
        <v>0</v>
      </c>
      <c r="BE294" s="29">
        <v>0</v>
      </c>
      <c r="BF294" s="29">
        <f>294</f>
        <v>294</v>
      </c>
      <c r="BH294" s="29">
        <f>F294*AO294</f>
        <v>0</v>
      </c>
      <c r="BI294" s="29">
        <f>F294*AP294</f>
        <v>0</v>
      </c>
      <c r="BJ294" s="29">
        <f>F294*G294</f>
        <v>0</v>
      </c>
      <c r="BK294" s="29"/>
      <c r="BL294" s="29">
        <v>56</v>
      </c>
      <c r="BW294" s="29">
        <v>21</v>
      </c>
      <c r="BX294" s="5" t="s">
        <v>574</v>
      </c>
    </row>
    <row r="295" spans="1:76" ht="14.4" x14ac:dyDescent="0.3">
      <c r="A295" s="32"/>
      <c r="C295" s="33" t="s">
        <v>575</v>
      </c>
      <c r="D295" s="33" t="s">
        <v>211</v>
      </c>
      <c r="F295" s="34">
        <v>179.405</v>
      </c>
      <c r="K295" s="35"/>
    </row>
    <row r="296" spans="1:76" ht="14.4" x14ac:dyDescent="0.3">
      <c r="A296" s="25" t="s">
        <v>51</v>
      </c>
      <c r="B296" s="26" t="s">
        <v>383</v>
      </c>
      <c r="C296" s="143" t="s">
        <v>576</v>
      </c>
      <c r="D296" s="144"/>
      <c r="E296" s="27" t="s">
        <v>4</v>
      </c>
      <c r="F296" s="27" t="s">
        <v>4</v>
      </c>
      <c r="G296" s="27" t="s">
        <v>4</v>
      </c>
      <c r="H296" s="1">
        <f>SUM(H297:H305)</f>
        <v>0</v>
      </c>
      <c r="I296" s="1">
        <f>SUM(I297:I305)</f>
        <v>0</v>
      </c>
      <c r="J296" s="1">
        <f>SUM(J297:J305)</f>
        <v>0</v>
      </c>
      <c r="K296" s="28" t="s">
        <v>51</v>
      </c>
      <c r="AI296" s="11" t="s">
        <v>433</v>
      </c>
      <c r="AS296" s="1">
        <f>SUM(AJ297:AJ305)</f>
        <v>0</v>
      </c>
      <c r="AT296" s="1">
        <f>SUM(AK297:AK305)</f>
        <v>0</v>
      </c>
      <c r="AU296" s="1">
        <f>SUM(AL297:AL305)</f>
        <v>0</v>
      </c>
    </row>
    <row r="297" spans="1:76" ht="14.4" x14ac:dyDescent="0.3">
      <c r="A297" s="2" t="s">
        <v>577</v>
      </c>
      <c r="B297" s="3" t="s">
        <v>578</v>
      </c>
      <c r="C297" s="87" t="s">
        <v>579</v>
      </c>
      <c r="D297" s="84"/>
      <c r="E297" s="3" t="s">
        <v>59</v>
      </c>
      <c r="F297" s="29">
        <v>84.5</v>
      </c>
      <c r="G297" s="29">
        <v>0</v>
      </c>
      <c r="H297" s="29">
        <f>F297*AO297</f>
        <v>0</v>
      </c>
      <c r="I297" s="29">
        <f>F297*AP297</f>
        <v>0</v>
      </c>
      <c r="J297" s="29">
        <f>F297*G297</f>
        <v>0</v>
      </c>
      <c r="K297" s="30" t="s">
        <v>60</v>
      </c>
      <c r="Z297" s="29">
        <f>IF(AQ297="5",BJ297,0)</f>
        <v>0</v>
      </c>
      <c r="AB297" s="29">
        <f>IF(AQ297="1",BH297,0)</f>
        <v>0</v>
      </c>
      <c r="AC297" s="29">
        <f>IF(AQ297="1",BI297,0)</f>
        <v>0</v>
      </c>
      <c r="AD297" s="29">
        <f>IF(AQ297="7",BH297,0)</f>
        <v>0</v>
      </c>
      <c r="AE297" s="29">
        <f>IF(AQ297="7",BI297,0)</f>
        <v>0</v>
      </c>
      <c r="AF297" s="29">
        <f>IF(AQ297="2",BH297,0)</f>
        <v>0</v>
      </c>
      <c r="AG297" s="29">
        <f>IF(AQ297="2",BI297,0)</f>
        <v>0</v>
      </c>
      <c r="AH297" s="29">
        <f>IF(AQ297="0",BJ297,0)</f>
        <v>0</v>
      </c>
      <c r="AI297" s="11" t="s">
        <v>433</v>
      </c>
      <c r="AJ297" s="29">
        <f>IF(AN297=0,J297,0)</f>
        <v>0</v>
      </c>
      <c r="AK297" s="29">
        <f>IF(AN297=12,J297,0)</f>
        <v>0</v>
      </c>
      <c r="AL297" s="29">
        <f>IF(AN297=21,J297,0)</f>
        <v>0</v>
      </c>
      <c r="AN297" s="29">
        <v>21</v>
      </c>
      <c r="AO297" s="29">
        <f>G297*0.926635514</f>
        <v>0</v>
      </c>
      <c r="AP297" s="29">
        <f>G297*(1-0.926635514)</f>
        <v>0</v>
      </c>
      <c r="AQ297" s="31" t="s">
        <v>56</v>
      </c>
      <c r="AV297" s="29">
        <f>AW297+AX297</f>
        <v>0</v>
      </c>
      <c r="AW297" s="29">
        <f>F297*AO297</f>
        <v>0</v>
      </c>
      <c r="AX297" s="29">
        <f>F297*AP297</f>
        <v>0</v>
      </c>
      <c r="AY297" s="31" t="s">
        <v>580</v>
      </c>
      <c r="AZ297" s="31" t="s">
        <v>522</v>
      </c>
      <c r="BA297" s="11" t="s">
        <v>439</v>
      </c>
      <c r="BC297" s="29">
        <f>AW297+AX297</f>
        <v>0</v>
      </c>
      <c r="BD297" s="29">
        <f>G297/(100-BE297)*100</f>
        <v>0</v>
      </c>
      <c r="BE297" s="29">
        <v>0</v>
      </c>
      <c r="BF297" s="29">
        <f>297</f>
        <v>297</v>
      </c>
      <c r="BH297" s="29">
        <f>F297*AO297</f>
        <v>0</v>
      </c>
      <c r="BI297" s="29">
        <f>F297*AP297</f>
        <v>0</v>
      </c>
      <c r="BJ297" s="29">
        <f>F297*G297</f>
        <v>0</v>
      </c>
      <c r="BK297" s="29"/>
      <c r="BL297" s="29">
        <v>57</v>
      </c>
      <c r="BW297" s="29">
        <v>21</v>
      </c>
      <c r="BX297" s="5" t="s">
        <v>579</v>
      </c>
    </row>
    <row r="298" spans="1:76" ht="14.4" x14ac:dyDescent="0.3">
      <c r="A298" s="32"/>
      <c r="C298" s="33" t="s">
        <v>51</v>
      </c>
      <c r="D298" s="33" t="s">
        <v>523</v>
      </c>
      <c r="F298" s="34">
        <v>0</v>
      </c>
      <c r="K298" s="35"/>
    </row>
    <row r="299" spans="1:76" ht="14.4" x14ac:dyDescent="0.3">
      <c r="A299" s="32"/>
      <c r="C299" s="33" t="s">
        <v>567</v>
      </c>
      <c r="D299" s="33" t="s">
        <v>525</v>
      </c>
      <c r="F299" s="34">
        <v>58.825000000000003</v>
      </c>
      <c r="K299" s="35"/>
    </row>
    <row r="300" spans="1:76" ht="14.4" x14ac:dyDescent="0.3">
      <c r="A300" s="32"/>
      <c r="C300" s="33" t="s">
        <v>568</v>
      </c>
      <c r="D300" s="33" t="s">
        <v>527</v>
      </c>
      <c r="F300" s="34">
        <v>25.675000000000001</v>
      </c>
      <c r="K300" s="35"/>
    </row>
    <row r="301" spans="1:76" ht="14.4" x14ac:dyDescent="0.3">
      <c r="A301" s="2" t="s">
        <v>85</v>
      </c>
      <c r="B301" s="3" t="s">
        <v>581</v>
      </c>
      <c r="C301" s="87" t="s">
        <v>582</v>
      </c>
      <c r="D301" s="84"/>
      <c r="E301" s="3" t="s">
        <v>59</v>
      </c>
      <c r="F301" s="29">
        <v>84.5</v>
      </c>
      <c r="G301" s="29">
        <v>0</v>
      </c>
      <c r="H301" s="29">
        <f>F301*AO301</f>
        <v>0</v>
      </c>
      <c r="I301" s="29">
        <f>F301*AP301</f>
        <v>0</v>
      </c>
      <c r="J301" s="29">
        <f>F301*G301</f>
        <v>0</v>
      </c>
      <c r="K301" s="30" t="s">
        <v>60</v>
      </c>
      <c r="Z301" s="29">
        <f>IF(AQ301="5",BJ301,0)</f>
        <v>0</v>
      </c>
      <c r="AB301" s="29">
        <f>IF(AQ301="1",BH301,0)</f>
        <v>0</v>
      </c>
      <c r="AC301" s="29">
        <f>IF(AQ301="1",BI301,0)</f>
        <v>0</v>
      </c>
      <c r="AD301" s="29">
        <f>IF(AQ301="7",BH301,0)</f>
        <v>0</v>
      </c>
      <c r="AE301" s="29">
        <f>IF(AQ301="7",BI301,0)</f>
        <v>0</v>
      </c>
      <c r="AF301" s="29">
        <f>IF(AQ301="2",BH301,0)</f>
        <v>0</v>
      </c>
      <c r="AG301" s="29">
        <f>IF(AQ301="2",BI301,0)</f>
        <v>0</v>
      </c>
      <c r="AH301" s="29">
        <f>IF(AQ301="0",BJ301,0)</f>
        <v>0</v>
      </c>
      <c r="AI301" s="11" t="s">
        <v>433</v>
      </c>
      <c r="AJ301" s="29">
        <f>IF(AN301=0,J301,0)</f>
        <v>0</v>
      </c>
      <c r="AK301" s="29">
        <f>IF(AN301=12,J301,0)</f>
        <v>0</v>
      </c>
      <c r="AL301" s="29">
        <f>IF(AN301=21,J301,0)</f>
        <v>0</v>
      </c>
      <c r="AN301" s="29">
        <v>21</v>
      </c>
      <c r="AO301" s="29">
        <f>G301*0.844554455</f>
        <v>0</v>
      </c>
      <c r="AP301" s="29">
        <f>G301*(1-0.844554455)</f>
        <v>0</v>
      </c>
      <c r="AQ301" s="31" t="s">
        <v>56</v>
      </c>
      <c r="AV301" s="29">
        <f>AW301+AX301</f>
        <v>0</v>
      </c>
      <c r="AW301" s="29">
        <f>F301*AO301</f>
        <v>0</v>
      </c>
      <c r="AX301" s="29">
        <f>F301*AP301</f>
        <v>0</v>
      </c>
      <c r="AY301" s="31" t="s">
        <v>580</v>
      </c>
      <c r="AZ301" s="31" t="s">
        <v>522</v>
      </c>
      <c r="BA301" s="11" t="s">
        <v>439</v>
      </c>
      <c r="BC301" s="29">
        <f>AW301+AX301</f>
        <v>0</v>
      </c>
      <c r="BD301" s="29">
        <f>G301/(100-BE301)*100</f>
        <v>0</v>
      </c>
      <c r="BE301" s="29">
        <v>0</v>
      </c>
      <c r="BF301" s="29">
        <f>301</f>
        <v>301</v>
      </c>
      <c r="BH301" s="29">
        <f>F301*AO301</f>
        <v>0</v>
      </c>
      <c r="BI301" s="29">
        <f>F301*AP301</f>
        <v>0</v>
      </c>
      <c r="BJ301" s="29">
        <f>F301*G301</f>
        <v>0</v>
      </c>
      <c r="BK301" s="29"/>
      <c r="BL301" s="29">
        <v>57</v>
      </c>
      <c r="BW301" s="29">
        <v>21</v>
      </c>
      <c r="BX301" s="5" t="s">
        <v>582</v>
      </c>
    </row>
    <row r="302" spans="1:76" ht="14.4" x14ac:dyDescent="0.3">
      <c r="A302" s="32"/>
      <c r="C302" s="33" t="s">
        <v>51</v>
      </c>
      <c r="D302" s="33" t="s">
        <v>523</v>
      </c>
      <c r="F302" s="34">
        <v>0</v>
      </c>
      <c r="K302" s="35"/>
    </row>
    <row r="303" spans="1:76" ht="14.4" x14ac:dyDescent="0.3">
      <c r="A303" s="32"/>
      <c r="C303" s="33" t="s">
        <v>567</v>
      </c>
      <c r="D303" s="33" t="s">
        <v>525</v>
      </c>
      <c r="F303" s="34">
        <v>58.825000000000003</v>
      </c>
      <c r="K303" s="35"/>
    </row>
    <row r="304" spans="1:76" ht="14.4" x14ac:dyDescent="0.3">
      <c r="A304" s="32"/>
      <c r="C304" s="33" t="s">
        <v>568</v>
      </c>
      <c r="D304" s="33" t="s">
        <v>527</v>
      </c>
      <c r="F304" s="34">
        <v>25.675000000000001</v>
      </c>
      <c r="K304" s="35"/>
    </row>
    <row r="305" spans="1:76" ht="14.4" x14ac:dyDescent="0.3">
      <c r="A305" s="2" t="s">
        <v>583</v>
      </c>
      <c r="B305" s="3" t="s">
        <v>584</v>
      </c>
      <c r="C305" s="87" t="s">
        <v>585</v>
      </c>
      <c r="D305" s="84"/>
      <c r="E305" s="3" t="s">
        <v>59</v>
      </c>
      <c r="F305" s="29">
        <v>84.5</v>
      </c>
      <c r="G305" s="29">
        <v>0</v>
      </c>
      <c r="H305" s="29">
        <f>F305*AO305</f>
        <v>0</v>
      </c>
      <c r="I305" s="29">
        <f>F305*AP305</f>
        <v>0</v>
      </c>
      <c r="J305" s="29">
        <f>F305*G305</f>
        <v>0</v>
      </c>
      <c r="K305" s="30" t="s">
        <v>250</v>
      </c>
      <c r="Z305" s="29">
        <f>IF(AQ305="5",BJ305,0)</f>
        <v>0</v>
      </c>
      <c r="AB305" s="29">
        <f>IF(AQ305="1",BH305,0)</f>
        <v>0</v>
      </c>
      <c r="AC305" s="29">
        <f>IF(AQ305="1",BI305,0)</f>
        <v>0</v>
      </c>
      <c r="AD305" s="29">
        <f>IF(AQ305="7",BH305,0)</f>
        <v>0</v>
      </c>
      <c r="AE305" s="29">
        <f>IF(AQ305="7",BI305,0)</f>
        <v>0</v>
      </c>
      <c r="AF305" s="29">
        <f>IF(AQ305="2",BH305,0)</f>
        <v>0</v>
      </c>
      <c r="AG305" s="29">
        <f>IF(AQ305="2",BI305,0)</f>
        <v>0</v>
      </c>
      <c r="AH305" s="29">
        <f>IF(AQ305="0",BJ305,0)</f>
        <v>0</v>
      </c>
      <c r="AI305" s="11" t="s">
        <v>433</v>
      </c>
      <c r="AJ305" s="29">
        <f>IF(AN305=0,J305,0)</f>
        <v>0</v>
      </c>
      <c r="AK305" s="29">
        <f>IF(AN305=12,J305,0)</f>
        <v>0</v>
      </c>
      <c r="AL305" s="29">
        <f>IF(AN305=21,J305,0)</f>
        <v>0</v>
      </c>
      <c r="AN305" s="29">
        <v>21</v>
      </c>
      <c r="AO305" s="29">
        <f>G305*0.908271955</f>
        <v>0</v>
      </c>
      <c r="AP305" s="29">
        <f>G305*(1-0.908271955)</f>
        <v>0</v>
      </c>
      <c r="AQ305" s="31" t="s">
        <v>56</v>
      </c>
      <c r="AV305" s="29">
        <f>AW305+AX305</f>
        <v>0</v>
      </c>
      <c r="AW305" s="29">
        <f>F305*AO305</f>
        <v>0</v>
      </c>
      <c r="AX305" s="29">
        <f>F305*AP305</f>
        <v>0</v>
      </c>
      <c r="AY305" s="31" t="s">
        <v>580</v>
      </c>
      <c r="AZ305" s="31" t="s">
        <v>522</v>
      </c>
      <c r="BA305" s="11" t="s">
        <v>439</v>
      </c>
      <c r="BC305" s="29">
        <f>AW305+AX305</f>
        <v>0</v>
      </c>
      <c r="BD305" s="29">
        <f>G305/(100-BE305)*100</f>
        <v>0</v>
      </c>
      <c r="BE305" s="29">
        <v>0</v>
      </c>
      <c r="BF305" s="29">
        <f>305</f>
        <v>305</v>
      </c>
      <c r="BH305" s="29">
        <f>F305*AO305</f>
        <v>0</v>
      </c>
      <c r="BI305" s="29">
        <f>F305*AP305</f>
        <v>0</v>
      </c>
      <c r="BJ305" s="29">
        <f>F305*G305</f>
        <v>0</v>
      </c>
      <c r="BK305" s="29"/>
      <c r="BL305" s="29">
        <v>57</v>
      </c>
      <c r="BW305" s="29">
        <v>21</v>
      </c>
      <c r="BX305" s="5" t="s">
        <v>585</v>
      </c>
    </row>
    <row r="306" spans="1:76" ht="14.4" x14ac:dyDescent="0.3">
      <c r="A306" s="32"/>
      <c r="C306" s="33" t="s">
        <v>51</v>
      </c>
      <c r="D306" s="33" t="s">
        <v>523</v>
      </c>
      <c r="F306" s="34">
        <v>0</v>
      </c>
      <c r="K306" s="35"/>
    </row>
    <row r="307" spans="1:76" ht="14.4" x14ac:dyDescent="0.3">
      <c r="A307" s="32"/>
      <c r="C307" s="33" t="s">
        <v>567</v>
      </c>
      <c r="D307" s="33" t="s">
        <v>525</v>
      </c>
      <c r="F307" s="34">
        <v>58.825000000000003</v>
      </c>
      <c r="K307" s="35"/>
    </row>
    <row r="308" spans="1:76" ht="14.4" x14ac:dyDescent="0.3">
      <c r="A308" s="32"/>
      <c r="C308" s="33" t="s">
        <v>568</v>
      </c>
      <c r="D308" s="33" t="s">
        <v>527</v>
      </c>
      <c r="F308" s="34">
        <v>25.675000000000001</v>
      </c>
      <c r="K308" s="35"/>
    </row>
    <row r="309" spans="1:76" ht="14.4" x14ac:dyDescent="0.3">
      <c r="A309" s="25" t="s">
        <v>51</v>
      </c>
      <c r="B309" s="26" t="s">
        <v>404</v>
      </c>
      <c r="C309" s="143" t="s">
        <v>586</v>
      </c>
      <c r="D309" s="144"/>
      <c r="E309" s="27" t="s">
        <v>4</v>
      </c>
      <c r="F309" s="27" t="s">
        <v>4</v>
      </c>
      <c r="G309" s="27" t="s">
        <v>4</v>
      </c>
      <c r="H309" s="1">
        <f>SUM(H310:H316)</f>
        <v>0</v>
      </c>
      <c r="I309" s="1">
        <f>SUM(I310:I316)</f>
        <v>0</v>
      </c>
      <c r="J309" s="1">
        <f>SUM(J310:J316)</f>
        <v>0</v>
      </c>
      <c r="K309" s="28" t="s">
        <v>51</v>
      </c>
      <c r="AI309" s="11" t="s">
        <v>433</v>
      </c>
      <c r="AS309" s="1">
        <f>SUM(AJ310:AJ316)</f>
        <v>0</v>
      </c>
      <c r="AT309" s="1">
        <f>SUM(AK310:AK316)</f>
        <v>0</v>
      </c>
      <c r="AU309" s="1">
        <f>SUM(AL310:AL316)</f>
        <v>0</v>
      </c>
    </row>
    <row r="310" spans="1:76" ht="14.4" x14ac:dyDescent="0.3">
      <c r="A310" s="2" t="s">
        <v>587</v>
      </c>
      <c r="B310" s="3" t="s">
        <v>588</v>
      </c>
      <c r="C310" s="87" t="s">
        <v>589</v>
      </c>
      <c r="D310" s="84"/>
      <c r="E310" s="3" t="s">
        <v>59</v>
      </c>
      <c r="F310" s="29">
        <v>10.715</v>
      </c>
      <c r="G310" s="29">
        <v>0</v>
      </c>
      <c r="H310" s="29">
        <f>F310*AO310</f>
        <v>0</v>
      </c>
      <c r="I310" s="29">
        <f>F310*AP310</f>
        <v>0</v>
      </c>
      <c r="J310" s="29">
        <f>F310*G310</f>
        <v>0</v>
      </c>
      <c r="K310" s="30" t="s">
        <v>250</v>
      </c>
      <c r="Z310" s="29">
        <f>IF(AQ310="5",BJ310,0)</f>
        <v>0</v>
      </c>
      <c r="AB310" s="29">
        <f>IF(AQ310="1",BH310,0)</f>
        <v>0</v>
      </c>
      <c r="AC310" s="29">
        <f>IF(AQ310="1",BI310,0)</f>
        <v>0</v>
      </c>
      <c r="AD310" s="29">
        <f>IF(AQ310="7",BH310,0)</f>
        <v>0</v>
      </c>
      <c r="AE310" s="29">
        <f>IF(AQ310="7",BI310,0)</f>
        <v>0</v>
      </c>
      <c r="AF310" s="29">
        <f>IF(AQ310="2",BH310,0)</f>
        <v>0</v>
      </c>
      <c r="AG310" s="29">
        <f>IF(AQ310="2",BI310,0)</f>
        <v>0</v>
      </c>
      <c r="AH310" s="29">
        <f>IF(AQ310="0",BJ310,0)</f>
        <v>0</v>
      </c>
      <c r="AI310" s="11" t="s">
        <v>433</v>
      </c>
      <c r="AJ310" s="29">
        <f>IF(AN310=0,J310,0)</f>
        <v>0</v>
      </c>
      <c r="AK310" s="29">
        <f>IF(AN310=12,J310,0)</f>
        <v>0</v>
      </c>
      <c r="AL310" s="29">
        <f>IF(AN310=21,J310,0)</f>
        <v>0</v>
      </c>
      <c r="AN310" s="29">
        <v>21</v>
      </c>
      <c r="AO310" s="29">
        <f>G310*0.171682589</f>
        <v>0</v>
      </c>
      <c r="AP310" s="29">
        <f>G310*(1-0.171682589)</f>
        <v>0</v>
      </c>
      <c r="AQ310" s="31" t="s">
        <v>56</v>
      </c>
      <c r="AV310" s="29">
        <f>AW310+AX310</f>
        <v>0</v>
      </c>
      <c r="AW310" s="29">
        <f>F310*AO310</f>
        <v>0</v>
      </c>
      <c r="AX310" s="29">
        <f>F310*AP310</f>
        <v>0</v>
      </c>
      <c r="AY310" s="31" t="s">
        <v>590</v>
      </c>
      <c r="AZ310" s="31" t="s">
        <v>522</v>
      </c>
      <c r="BA310" s="11" t="s">
        <v>439</v>
      </c>
      <c r="BC310" s="29">
        <f>AW310+AX310</f>
        <v>0</v>
      </c>
      <c r="BD310" s="29">
        <f>G310/(100-BE310)*100</f>
        <v>0</v>
      </c>
      <c r="BE310" s="29">
        <v>0</v>
      </c>
      <c r="BF310" s="29">
        <f>310</f>
        <v>310</v>
      </c>
      <c r="BH310" s="29">
        <f>F310*AO310</f>
        <v>0</v>
      </c>
      <c r="BI310" s="29">
        <f>F310*AP310</f>
        <v>0</v>
      </c>
      <c r="BJ310" s="29">
        <f>F310*G310</f>
        <v>0</v>
      </c>
      <c r="BK310" s="29"/>
      <c r="BL310" s="29">
        <v>59</v>
      </c>
      <c r="BW310" s="29">
        <v>21</v>
      </c>
      <c r="BX310" s="5" t="s">
        <v>589</v>
      </c>
    </row>
    <row r="311" spans="1:76" ht="14.4" x14ac:dyDescent="0.3">
      <c r="A311" s="32"/>
      <c r="C311" s="33" t="s">
        <v>528</v>
      </c>
      <c r="D311" s="33" t="s">
        <v>591</v>
      </c>
      <c r="F311" s="34">
        <v>10.715</v>
      </c>
      <c r="K311" s="35"/>
    </row>
    <row r="312" spans="1:76" ht="14.4" x14ac:dyDescent="0.3">
      <c r="A312" s="2" t="s">
        <v>592</v>
      </c>
      <c r="B312" s="3" t="s">
        <v>593</v>
      </c>
      <c r="C312" s="87" t="s">
        <v>594</v>
      </c>
      <c r="D312" s="84"/>
      <c r="E312" s="3" t="s">
        <v>59</v>
      </c>
      <c r="F312" s="29">
        <v>10.715</v>
      </c>
      <c r="G312" s="29">
        <v>0</v>
      </c>
      <c r="H312" s="29">
        <f>F312*AO312</f>
        <v>0</v>
      </c>
      <c r="I312" s="29">
        <f>F312*AP312</f>
        <v>0</v>
      </c>
      <c r="J312" s="29">
        <f>F312*G312</f>
        <v>0</v>
      </c>
      <c r="K312" s="30" t="s">
        <v>250</v>
      </c>
      <c r="Z312" s="29">
        <f>IF(AQ312="5",BJ312,0)</f>
        <v>0</v>
      </c>
      <c r="AB312" s="29">
        <f>IF(AQ312="1",BH312,0)</f>
        <v>0</v>
      </c>
      <c r="AC312" s="29">
        <f>IF(AQ312="1",BI312,0)</f>
        <v>0</v>
      </c>
      <c r="AD312" s="29">
        <f>IF(AQ312="7",BH312,0)</f>
        <v>0</v>
      </c>
      <c r="AE312" s="29">
        <f>IF(AQ312="7",BI312,0)</f>
        <v>0</v>
      </c>
      <c r="AF312" s="29">
        <f>IF(AQ312="2",BH312,0)</f>
        <v>0</v>
      </c>
      <c r="AG312" s="29">
        <f>IF(AQ312="2",BI312,0)</f>
        <v>0</v>
      </c>
      <c r="AH312" s="29">
        <f>IF(AQ312="0",BJ312,0)</f>
        <v>0</v>
      </c>
      <c r="AI312" s="11" t="s">
        <v>433</v>
      </c>
      <c r="AJ312" s="29">
        <f>IF(AN312=0,J312,0)</f>
        <v>0</v>
      </c>
      <c r="AK312" s="29">
        <f>IF(AN312=12,J312,0)</f>
        <v>0</v>
      </c>
      <c r="AL312" s="29">
        <f>IF(AN312=21,J312,0)</f>
        <v>0</v>
      </c>
      <c r="AN312" s="29">
        <v>21</v>
      </c>
      <c r="AO312" s="29">
        <f>G312*1</f>
        <v>0</v>
      </c>
      <c r="AP312" s="29">
        <f>G312*(1-1)</f>
        <v>0</v>
      </c>
      <c r="AQ312" s="31" t="s">
        <v>56</v>
      </c>
      <c r="AV312" s="29">
        <f>AW312+AX312</f>
        <v>0</v>
      </c>
      <c r="AW312" s="29">
        <f>F312*AO312</f>
        <v>0</v>
      </c>
      <c r="AX312" s="29">
        <f>F312*AP312</f>
        <v>0</v>
      </c>
      <c r="AY312" s="31" t="s">
        <v>590</v>
      </c>
      <c r="AZ312" s="31" t="s">
        <v>522</v>
      </c>
      <c r="BA312" s="11" t="s">
        <v>439</v>
      </c>
      <c r="BC312" s="29">
        <f>AW312+AX312</f>
        <v>0</v>
      </c>
      <c r="BD312" s="29">
        <f>G312/(100-BE312)*100</f>
        <v>0</v>
      </c>
      <c r="BE312" s="29">
        <v>0</v>
      </c>
      <c r="BF312" s="29">
        <f>312</f>
        <v>312</v>
      </c>
      <c r="BH312" s="29">
        <f>F312*AO312</f>
        <v>0</v>
      </c>
      <c r="BI312" s="29">
        <f>F312*AP312</f>
        <v>0</v>
      </c>
      <c r="BJ312" s="29">
        <f>F312*G312</f>
        <v>0</v>
      </c>
      <c r="BK312" s="29"/>
      <c r="BL312" s="29">
        <v>59</v>
      </c>
      <c r="BW312" s="29">
        <v>21</v>
      </c>
      <c r="BX312" s="5" t="s">
        <v>594</v>
      </c>
    </row>
    <row r="313" spans="1:76" ht="14.4" x14ac:dyDescent="0.3">
      <c r="A313" s="2" t="s">
        <v>179</v>
      </c>
      <c r="B313" s="3" t="s">
        <v>595</v>
      </c>
      <c r="C313" s="87" t="s">
        <v>596</v>
      </c>
      <c r="D313" s="84"/>
      <c r="E313" s="3" t="s">
        <v>59</v>
      </c>
      <c r="F313" s="29">
        <v>16.162500000000001</v>
      </c>
      <c r="G313" s="29">
        <v>0</v>
      </c>
      <c r="H313" s="29">
        <f>F313*AO313</f>
        <v>0</v>
      </c>
      <c r="I313" s="29">
        <f>F313*AP313</f>
        <v>0</v>
      </c>
      <c r="J313" s="29">
        <f>F313*G313</f>
        <v>0</v>
      </c>
      <c r="K313" s="30" t="s">
        <v>60</v>
      </c>
      <c r="Z313" s="29">
        <f>IF(AQ313="5",BJ313,0)</f>
        <v>0</v>
      </c>
      <c r="AB313" s="29">
        <f>IF(AQ313="1",BH313,0)</f>
        <v>0</v>
      </c>
      <c r="AC313" s="29">
        <f>IF(AQ313="1",BI313,0)</f>
        <v>0</v>
      </c>
      <c r="AD313" s="29">
        <f>IF(AQ313="7",BH313,0)</f>
        <v>0</v>
      </c>
      <c r="AE313" s="29">
        <f>IF(AQ313="7",BI313,0)</f>
        <v>0</v>
      </c>
      <c r="AF313" s="29">
        <f>IF(AQ313="2",BH313,0)</f>
        <v>0</v>
      </c>
      <c r="AG313" s="29">
        <f>IF(AQ313="2",BI313,0)</f>
        <v>0</v>
      </c>
      <c r="AH313" s="29">
        <f>IF(AQ313="0",BJ313,0)</f>
        <v>0</v>
      </c>
      <c r="AI313" s="11" t="s">
        <v>433</v>
      </c>
      <c r="AJ313" s="29">
        <f>IF(AN313=0,J313,0)</f>
        <v>0</v>
      </c>
      <c r="AK313" s="29">
        <f>IF(AN313=12,J313,0)</f>
        <v>0</v>
      </c>
      <c r="AL313" s="29">
        <f>IF(AN313=21,J313,0)</f>
        <v>0</v>
      </c>
      <c r="AN313" s="29">
        <v>21</v>
      </c>
      <c r="AO313" s="29">
        <f>G313*0.595526011</f>
        <v>0</v>
      </c>
      <c r="AP313" s="29">
        <f>G313*(1-0.595526011)</f>
        <v>0</v>
      </c>
      <c r="AQ313" s="31" t="s">
        <v>56</v>
      </c>
      <c r="AV313" s="29">
        <f>AW313+AX313</f>
        <v>0</v>
      </c>
      <c r="AW313" s="29">
        <f>F313*AO313</f>
        <v>0</v>
      </c>
      <c r="AX313" s="29">
        <f>F313*AP313</f>
        <v>0</v>
      </c>
      <c r="AY313" s="31" t="s">
        <v>590</v>
      </c>
      <c r="AZ313" s="31" t="s">
        <v>522</v>
      </c>
      <c r="BA313" s="11" t="s">
        <v>439</v>
      </c>
      <c r="BC313" s="29">
        <f>AW313+AX313</f>
        <v>0</v>
      </c>
      <c r="BD313" s="29">
        <f>G313/(100-BE313)*100</f>
        <v>0</v>
      </c>
      <c r="BE313" s="29">
        <v>0</v>
      </c>
      <c r="BF313" s="29">
        <f>313</f>
        <v>313</v>
      </c>
      <c r="BH313" s="29">
        <f>F313*AO313</f>
        <v>0</v>
      </c>
      <c r="BI313" s="29">
        <f>F313*AP313</f>
        <v>0</v>
      </c>
      <c r="BJ313" s="29">
        <f>F313*G313</f>
        <v>0</v>
      </c>
      <c r="BK313" s="29"/>
      <c r="BL313" s="29">
        <v>59</v>
      </c>
      <c r="BW313" s="29">
        <v>21</v>
      </c>
      <c r="BX313" s="5" t="s">
        <v>596</v>
      </c>
    </row>
    <row r="314" spans="1:76" ht="14.4" x14ac:dyDescent="0.3">
      <c r="A314" s="32"/>
      <c r="C314" s="33" t="s">
        <v>597</v>
      </c>
      <c r="D314" s="33" t="s">
        <v>598</v>
      </c>
      <c r="F314" s="34">
        <v>8.0749999999999993</v>
      </c>
      <c r="K314" s="35"/>
    </row>
    <row r="315" spans="1:76" ht="14.4" x14ac:dyDescent="0.3">
      <c r="A315" s="32"/>
      <c r="C315" s="33" t="s">
        <v>599</v>
      </c>
      <c r="D315" s="33" t="s">
        <v>600</v>
      </c>
      <c r="F315" s="34">
        <v>8.0875000000000004</v>
      </c>
      <c r="K315" s="35"/>
    </row>
    <row r="316" spans="1:76" ht="14.4" x14ac:dyDescent="0.3">
      <c r="A316" s="2" t="s">
        <v>601</v>
      </c>
      <c r="B316" s="3" t="s">
        <v>602</v>
      </c>
      <c r="C316" s="87" t="s">
        <v>603</v>
      </c>
      <c r="D316" s="84"/>
      <c r="E316" s="3" t="s">
        <v>103</v>
      </c>
      <c r="F316" s="29">
        <v>140</v>
      </c>
      <c r="G316" s="29">
        <v>0</v>
      </c>
      <c r="H316" s="29">
        <f>F316*AO316</f>
        <v>0</v>
      </c>
      <c r="I316" s="29">
        <f>F316*AP316</f>
        <v>0</v>
      </c>
      <c r="J316" s="29">
        <f>F316*G316</f>
        <v>0</v>
      </c>
      <c r="K316" s="30" t="s">
        <v>250</v>
      </c>
      <c r="Z316" s="29">
        <f>IF(AQ316="5",BJ316,0)</f>
        <v>0</v>
      </c>
      <c r="AB316" s="29">
        <f>IF(AQ316="1",BH316,0)</f>
        <v>0</v>
      </c>
      <c r="AC316" s="29">
        <f>IF(AQ316="1",BI316,0)</f>
        <v>0</v>
      </c>
      <c r="AD316" s="29">
        <f>IF(AQ316="7",BH316,0)</f>
        <v>0</v>
      </c>
      <c r="AE316" s="29">
        <f>IF(AQ316="7",BI316,0)</f>
        <v>0</v>
      </c>
      <c r="AF316" s="29">
        <f>IF(AQ316="2",BH316,0)</f>
        <v>0</v>
      </c>
      <c r="AG316" s="29">
        <f>IF(AQ316="2",BI316,0)</f>
        <v>0</v>
      </c>
      <c r="AH316" s="29">
        <f>IF(AQ316="0",BJ316,0)</f>
        <v>0</v>
      </c>
      <c r="AI316" s="11" t="s">
        <v>433</v>
      </c>
      <c r="AJ316" s="29">
        <f>IF(AN316=0,J316,0)</f>
        <v>0</v>
      </c>
      <c r="AK316" s="29">
        <f>IF(AN316=12,J316,0)</f>
        <v>0</v>
      </c>
      <c r="AL316" s="29">
        <f>IF(AN316=21,J316,0)</f>
        <v>0</v>
      </c>
      <c r="AN316" s="29">
        <v>21</v>
      </c>
      <c r="AO316" s="29">
        <f>G316*1</f>
        <v>0</v>
      </c>
      <c r="AP316" s="29">
        <f>G316*(1-1)</f>
        <v>0</v>
      </c>
      <c r="AQ316" s="31" t="s">
        <v>56</v>
      </c>
      <c r="AV316" s="29">
        <f>AW316+AX316</f>
        <v>0</v>
      </c>
      <c r="AW316" s="29">
        <f>F316*AO316</f>
        <v>0</v>
      </c>
      <c r="AX316" s="29">
        <f>F316*AP316</f>
        <v>0</v>
      </c>
      <c r="AY316" s="31" t="s">
        <v>590</v>
      </c>
      <c r="AZ316" s="31" t="s">
        <v>522</v>
      </c>
      <c r="BA316" s="11" t="s">
        <v>439</v>
      </c>
      <c r="BC316" s="29">
        <f>AW316+AX316</f>
        <v>0</v>
      </c>
      <c r="BD316" s="29">
        <f>G316/(100-BE316)*100</f>
        <v>0</v>
      </c>
      <c r="BE316" s="29">
        <v>0</v>
      </c>
      <c r="BF316" s="29">
        <f>316</f>
        <v>316</v>
      </c>
      <c r="BH316" s="29">
        <f>F316*AO316</f>
        <v>0</v>
      </c>
      <c r="BI316" s="29">
        <f>F316*AP316</f>
        <v>0</v>
      </c>
      <c r="BJ316" s="29">
        <f>F316*G316</f>
        <v>0</v>
      </c>
      <c r="BK316" s="29"/>
      <c r="BL316" s="29">
        <v>59</v>
      </c>
      <c r="BW316" s="29">
        <v>21</v>
      </c>
      <c r="BX316" s="5" t="s">
        <v>603</v>
      </c>
    </row>
    <row r="317" spans="1:76" ht="14.4" x14ac:dyDescent="0.3">
      <c r="A317" s="25" t="s">
        <v>51</v>
      </c>
      <c r="B317" s="26" t="s">
        <v>407</v>
      </c>
      <c r="C317" s="143" t="s">
        <v>604</v>
      </c>
      <c r="D317" s="144"/>
      <c r="E317" s="27" t="s">
        <v>4</v>
      </c>
      <c r="F317" s="27" t="s">
        <v>4</v>
      </c>
      <c r="G317" s="27" t="s">
        <v>4</v>
      </c>
      <c r="H317" s="1">
        <f>SUM(H318:H336)</f>
        <v>0</v>
      </c>
      <c r="I317" s="1">
        <f>SUM(I318:I336)</f>
        <v>0</v>
      </c>
      <c r="J317" s="1">
        <f>SUM(J318:J336)</f>
        <v>0</v>
      </c>
      <c r="K317" s="28" t="s">
        <v>51</v>
      </c>
      <c r="AI317" s="11" t="s">
        <v>433</v>
      </c>
      <c r="AS317" s="1">
        <f>SUM(AJ318:AJ336)</f>
        <v>0</v>
      </c>
      <c r="AT317" s="1">
        <f>SUM(AK318:AK336)</f>
        <v>0</v>
      </c>
      <c r="AU317" s="1">
        <f>SUM(AL318:AL336)</f>
        <v>0</v>
      </c>
    </row>
    <row r="318" spans="1:76" ht="14.4" x14ac:dyDescent="0.3">
      <c r="A318" s="2" t="s">
        <v>225</v>
      </c>
      <c r="B318" s="3" t="s">
        <v>605</v>
      </c>
      <c r="C318" s="87" t="s">
        <v>606</v>
      </c>
      <c r="D318" s="84"/>
      <c r="E318" s="3" t="s">
        <v>59</v>
      </c>
      <c r="F318" s="29">
        <v>60.39</v>
      </c>
      <c r="G318" s="29">
        <v>0</v>
      </c>
      <c r="H318" s="29">
        <f>F318*AO318</f>
        <v>0</v>
      </c>
      <c r="I318" s="29">
        <f>F318*AP318</f>
        <v>0</v>
      </c>
      <c r="J318" s="29">
        <f>F318*G318</f>
        <v>0</v>
      </c>
      <c r="K318" s="30" t="s">
        <v>60</v>
      </c>
      <c r="Z318" s="29">
        <f>IF(AQ318="5",BJ318,0)</f>
        <v>0</v>
      </c>
      <c r="AB318" s="29">
        <f>IF(AQ318="1",BH318,0)</f>
        <v>0</v>
      </c>
      <c r="AC318" s="29">
        <f>IF(AQ318="1",BI318,0)</f>
        <v>0</v>
      </c>
      <c r="AD318" s="29">
        <f>IF(AQ318="7",BH318,0)</f>
        <v>0</v>
      </c>
      <c r="AE318" s="29">
        <f>IF(AQ318="7",BI318,0)</f>
        <v>0</v>
      </c>
      <c r="AF318" s="29">
        <f>IF(AQ318="2",BH318,0)</f>
        <v>0</v>
      </c>
      <c r="AG318" s="29">
        <f>IF(AQ318="2",BI318,0)</f>
        <v>0</v>
      </c>
      <c r="AH318" s="29">
        <f>IF(AQ318="0",BJ318,0)</f>
        <v>0</v>
      </c>
      <c r="AI318" s="11" t="s">
        <v>433</v>
      </c>
      <c r="AJ318" s="29">
        <f>IF(AN318=0,J318,0)</f>
        <v>0</v>
      </c>
      <c r="AK318" s="29">
        <f>IF(AN318=12,J318,0)</f>
        <v>0</v>
      </c>
      <c r="AL318" s="29">
        <f>IF(AN318=21,J318,0)</f>
        <v>0</v>
      </c>
      <c r="AN318" s="29">
        <v>21</v>
      </c>
      <c r="AO318" s="29">
        <f>G318*0.487813396</f>
        <v>0</v>
      </c>
      <c r="AP318" s="29">
        <f>G318*(1-0.487813396)</f>
        <v>0</v>
      </c>
      <c r="AQ318" s="31" t="s">
        <v>56</v>
      </c>
      <c r="AV318" s="29">
        <f>AW318+AX318</f>
        <v>0</v>
      </c>
      <c r="AW318" s="29">
        <f>F318*AO318</f>
        <v>0</v>
      </c>
      <c r="AX318" s="29">
        <f>F318*AP318</f>
        <v>0</v>
      </c>
      <c r="AY318" s="31" t="s">
        <v>607</v>
      </c>
      <c r="AZ318" s="31" t="s">
        <v>438</v>
      </c>
      <c r="BA318" s="11" t="s">
        <v>439</v>
      </c>
      <c r="BC318" s="29">
        <f>AW318+AX318</f>
        <v>0</v>
      </c>
      <c r="BD318" s="29">
        <f>G318/(100-BE318)*100</f>
        <v>0</v>
      </c>
      <c r="BE318" s="29">
        <v>0</v>
      </c>
      <c r="BF318" s="29">
        <f>318</f>
        <v>318</v>
      </c>
      <c r="BH318" s="29">
        <f>F318*AO318</f>
        <v>0</v>
      </c>
      <c r="BI318" s="29">
        <f>F318*AP318</f>
        <v>0</v>
      </c>
      <c r="BJ318" s="29">
        <f>F318*G318</f>
        <v>0</v>
      </c>
      <c r="BK318" s="29"/>
      <c r="BL318" s="29">
        <v>60</v>
      </c>
      <c r="BW318" s="29">
        <v>21</v>
      </c>
      <c r="BX318" s="5" t="s">
        <v>606</v>
      </c>
    </row>
    <row r="319" spans="1:76" ht="14.4" x14ac:dyDescent="0.3">
      <c r="A319" s="32"/>
      <c r="C319" s="33" t="s">
        <v>451</v>
      </c>
      <c r="D319" s="33" t="s">
        <v>452</v>
      </c>
      <c r="F319" s="34">
        <v>34.65</v>
      </c>
      <c r="K319" s="35"/>
    </row>
    <row r="320" spans="1:76" ht="14.4" x14ac:dyDescent="0.3">
      <c r="A320" s="32"/>
      <c r="C320" s="33" t="s">
        <v>453</v>
      </c>
      <c r="D320" s="33" t="s">
        <v>51</v>
      </c>
      <c r="F320" s="34">
        <v>25.74</v>
      </c>
      <c r="K320" s="35"/>
    </row>
    <row r="321" spans="1:76" ht="14.4" x14ac:dyDescent="0.3">
      <c r="A321" s="2" t="s">
        <v>53</v>
      </c>
      <c r="B321" s="3" t="s">
        <v>608</v>
      </c>
      <c r="C321" s="87" t="s">
        <v>609</v>
      </c>
      <c r="D321" s="84"/>
      <c r="E321" s="3" t="s">
        <v>59</v>
      </c>
      <c r="F321" s="29">
        <v>60.39</v>
      </c>
      <c r="G321" s="29">
        <v>0</v>
      </c>
      <c r="H321" s="29">
        <f>F321*AO321</f>
        <v>0</v>
      </c>
      <c r="I321" s="29">
        <f>F321*AP321</f>
        <v>0</v>
      </c>
      <c r="J321" s="29">
        <f>F321*G321</f>
        <v>0</v>
      </c>
      <c r="K321" s="30" t="s">
        <v>60</v>
      </c>
      <c r="Z321" s="29">
        <f>IF(AQ321="5",BJ321,0)</f>
        <v>0</v>
      </c>
      <c r="AB321" s="29">
        <f>IF(AQ321="1",BH321,0)</f>
        <v>0</v>
      </c>
      <c r="AC321" s="29">
        <f>IF(AQ321="1",BI321,0)</f>
        <v>0</v>
      </c>
      <c r="AD321" s="29">
        <f>IF(AQ321="7",BH321,0)</f>
        <v>0</v>
      </c>
      <c r="AE321" s="29">
        <f>IF(AQ321="7",BI321,0)</f>
        <v>0</v>
      </c>
      <c r="AF321" s="29">
        <f>IF(AQ321="2",BH321,0)</f>
        <v>0</v>
      </c>
      <c r="AG321" s="29">
        <f>IF(AQ321="2",BI321,0)</f>
        <v>0</v>
      </c>
      <c r="AH321" s="29">
        <f>IF(AQ321="0",BJ321,0)</f>
        <v>0</v>
      </c>
      <c r="AI321" s="11" t="s">
        <v>433</v>
      </c>
      <c r="AJ321" s="29">
        <f>IF(AN321=0,J321,0)</f>
        <v>0</v>
      </c>
      <c r="AK321" s="29">
        <f>IF(AN321=12,J321,0)</f>
        <v>0</v>
      </c>
      <c r="AL321" s="29">
        <f>IF(AN321=21,J321,0)</f>
        <v>0</v>
      </c>
      <c r="AN321" s="29">
        <v>21</v>
      </c>
      <c r="AO321" s="29">
        <f>G321*0.384774425</f>
        <v>0</v>
      </c>
      <c r="AP321" s="29">
        <f>G321*(1-0.384774425)</f>
        <v>0</v>
      </c>
      <c r="AQ321" s="31" t="s">
        <v>56</v>
      </c>
      <c r="AV321" s="29">
        <f>AW321+AX321</f>
        <v>0</v>
      </c>
      <c r="AW321" s="29">
        <f>F321*AO321</f>
        <v>0</v>
      </c>
      <c r="AX321" s="29">
        <f>F321*AP321</f>
        <v>0</v>
      </c>
      <c r="AY321" s="31" t="s">
        <v>607</v>
      </c>
      <c r="AZ321" s="31" t="s">
        <v>438</v>
      </c>
      <c r="BA321" s="11" t="s">
        <v>439</v>
      </c>
      <c r="BC321" s="29">
        <f>AW321+AX321</f>
        <v>0</v>
      </c>
      <c r="BD321" s="29">
        <f>G321/(100-BE321)*100</f>
        <v>0</v>
      </c>
      <c r="BE321" s="29">
        <v>0</v>
      </c>
      <c r="BF321" s="29">
        <f>321</f>
        <v>321</v>
      </c>
      <c r="BH321" s="29">
        <f>F321*AO321</f>
        <v>0</v>
      </c>
      <c r="BI321" s="29">
        <f>F321*AP321</f>
        <v>0</v>
      </c>
      <c r="BJ321" s="29">
        <f>F321*G321</f>
        <v>0</v>
      </c>
      <c r="BK321" s="29"/>
      <c r="BL321" s="29">
        <v>60</v>
      </c>
      <c r="BW321" s="29">
        <v>21</v>
      </c>
      <c r="BX321" s="5" t="s">
        <v>609</v>
      </c>
    </row>
    <row r="322" spans="1:76" ht="14.4" x14ac:dyDescent="0.3">
      <c r="A322" s="32"/>
      <c r="C322" s="33" t="s">
        <v>451</v>
      </c>
      <c r="D322" s="33" t="s">
        <v>452</v>
      </c>
      <c r="F322" s="34">
        <v>34.65</v>
      </c>
      <c r="K322" s="35"/>
    </row>
    <row r="323" spans="1:76" ht="14.4" x14ac:dyDescent="0.3">
      <c r="A323" s="32"/>
      <c r="C323" s="33" t="s">
        <v>453</v>
      </c>
      <c r="D323" s="33" t="s">
        <v>51</v>
      </c>
      <c r="F323" s="34">
        <v>25.74</v>
      </c>
      <c r="K323" s="35"/>
    </row>
    <row r="324" spans="1:76" ht="14.4" x14ac:dyDescent="0.3">
      <c r="A324" s="2" t="s">
        <v>610</v>
      </c>
      <c r="B324" s="3" t="s">
        <v>611</v>
      </c>
      <c r="C324" s="87" t="s">
        <v>612</v>
      </c>
      <c r="D324" s="84"/>
      <c r="E324" s="3" t="s">
        <v>59</v>
      </c>
      <c r="F324" s="29">
        <v>475.30279999999999</v>
      </c>
      <c r="G324" s="29">
        <v>0</v>
      </c>
      <c r="H324" s="29">
        <f>F324*AO324</f>
        <v>0</v>
      </c>
      <c r="I324" s="29">
        <f>F324*AP324</f>
        <v>0</v>
      </c>
      <c r="J324" s="29">
        <f>F324*G324</f>
        <v>0</v>
      </c>
      <c r="K324" s="30" t="s">
        <v>60</v>
      </c>
      <c r="Z324" s="29">
        <f>IF(AQ324="5",BJ324,0)</f>
        <v>0</v>
      </c>
      <c r="AB324" s="29">
        <f>IF(AQ324="1",BH324,0)</f>
        <v>0</v>
      </c>
      <c r="AC324" s="29">
        <f>IF(AQ324="1",BI324,0)</f>
        <v>0</v>
      </c>
      <c r="AD324" s="29">
        <f>IF(AQ324="7",BH324,0)</f>
        <v>0</v>
      </c>
      <c r="AE324" s="29">
        <f>IF(AQ324="7",BI324,0)</f>
        <v>0</v>
      </c>
      <c r="AF324" s="29">
        <f>IF(AQ324="2",BH324,0)</f>
        <v>0</v>
      </c>
      <c r="AG324" s="29">
        <f>IF(AQ324="2",BI324,0)</f>
        <v>0</v>
      </c>
      <c r="AH324" s="29">
        <f>IF(AQ324="0",BJ324,0)</f>
        <v>0</v>
      </c>
      <c r="AI324" s="11" t="s">
        <v>433</v>
      </c>
      <c r="AJ324" s="29">
        <f>IF(AN324=0,J324,0)</f>
        <v>0</v>
      </c>
      <c r="AK324" s="29">
        <f>IF(AN324=12,J324,0)</f>
        <v>0</v>
      </c>
      <c r="AL324" s="29">
        <f>IF(AN324=21,J324,0)</f>
        <v>0</v>
      </c>
      <c r="AN324" s="29">
        <v>21</v>
      </c>
      <c r="AO324" s="29">
        <f>G324*0.475191507</f>
        <v>0</v>
      </c>
      <c r="AP324" s="29">
        <f>G324*(1-0.475191507)</f>
        <v>0</v>
      </c>
      <c r="AQ324" s="31" t="s">
        <v>56</v>
      </c>
      <c r="AV324" s="29">
        <f>AW324+AX324</f>
        <v>0</v>
      </c>
      <c r="AW324" s="29">
        <f>F324*AO324</f>
        <v>0</v>
      </c>
      <c r="AX324" s="29">
        <f>F324*AP324</f>
        <v>0</v>
      </c>
      <c r="AY324" s="31" t="s">
        <v>607</v>
      </c>
      <c r="AZ324" s="31" t="s">
        <v>438</v>
      </c>
      <c r="BA324" s="11" t="s">
        <v>439</v>
      </c>
      <c r="BC324" s="29">
        <f>AW324+AX324</f>
        <v>0</v>
      </c>
      <c r="BD324" s="29">
        <f>G324/(100-BE324)*100</f>
        <v>0</v>
      </c>
      <c r="BE324" s="29">
        <v>0</v>
      </c>
      <c r="BF324" s="29">
        <f>324</f>
        <v>324</v>
      </c>
      <c r="BH324" s="29">
        <f>F324*AO324</f>
        <v>0</v>
      </c>
      <c r="BI324" s="29">
        <f>F324*AP324</f>
        <v>0</v>
      </c>
      <c r="BJ324" s="29">
        <f>F324*G324</f>
        <v>0</v>
      </c>
      <c r="BK324" s="29"/>
      <c r="BL324" s="29">
        <v>60</v>
      </c>
      <c r="BW324" s="29">
        <v>21</v>
      </c>
      <c r="BX324" s="5" t="s">
        <v>612</v>
      </c>
    </row>
    <row r="325" spans="1:76" ht="14.4" x14ac:dyDescent="0.3">
      <c r="A325" s="32"/>
      <c r="C325" s="33" t="s">
        <v>468</v>
      </c>
      <c r="D325" s="33" t="s">
        <v>210</v>
      </c>
      <c r="F325" s="34">
        <v>67.64</v>
      </c>
      <c r="K325" s="35"/>
    </row>
    <row r="326" spans="1:76" ht="14.4" x14ac:dyDescent="0.3">
      <c r="A326" s="32"/>
      <c r="C326" s="33" t="s">
        <v>469</v>
      </c>
      <c r="D326" s="33" t="s">
        <v>51</v>
      </c>
      <c r="F326" s="34">
        <v>36.619999999999997</v>
      </c>
      <c r="K326" s="35"/>
    </row>
    <row r="327" spans="1:76" ht="14.4" x14ac:dyDescent="0.3">
      <c r="A327" s="32"/>
      <c r="C327" s="33" t="s">
        <v>468</v>
      </c>
      <c r="D327" s="33" t="s">
        <v>51</v>
      </c>
      <c r="F327" s="34">
        <v>67.64</v>
      </c>
      <c r="K327" s="35"/>
    </row>
    <row r="328" spans="1:76" ht="14.4" x14ac:dyDescent="0.3">
      <c r="A328" s="32"/>
      <c r="C328" s="33" t="s">
        <v>470</v>
      </c>
      <c r="D328" s="33" t="s">
        <v>51</v>
      </c>
      <c r="F328" s="34">
        <v>6.1315999999999997</v>
      </c>
      <c r="K328" s="35"/>
    </row>
    <row r="329" spans="1:76" ht="14.4" x14ac:dyDescent="0.3">
      <c r="A329" s="32"/>
      <c r="C329" s="33" t="s">
        <v>471</v>
      </c>
      <c r="D329" s="33" t="s">
        <v>211</v>
      </c>
      <c r="F329" s="34">
        <v>71.238</v>
      </c>
      <c r="K329" s="35"/>
    </row>
    <row r="330" spans="1:76" ht="14.4" x14ac:dyDescent="0.3">
      <c r="A330" s="32"/>
      <c r="C330" s="33" t="s">
        <v>472</v>
      </c>
      <c r="D330" s="33" t="s">
        <v>51</v>
      </c>
      <c r="F330" s="34">
        <v>36.354500000000002</v>
      </c>
      <c r="K330" s="35"/>
    </row>
    <row r="331" spans="1:76" ht="14.4" x14ac:dyDescent="0.3">
      <c r="A331" s="32"/>
      <c r="C331" s="33" t="s">
        <v>471</v>
      </c>
      <c r="D331" s="33" t="s">
        <v>51</v>
      </c>
      <c r="F331" s="34">
        <v>71.238</v>
      </c>
      <c r="K331" s="35"/>
    </row>
    <row r="332" spans="1:76" ht="14.4" x14ac:dyDescent="0.3">
      <c r="A332" s="32"/>
      <c r="C332" s="33" t="s">
        <v>473</v>
      </c>
      <c r="D332" s="33" t="s">
        <v>51</v>
      </c>
      <c r="F332" s="34">
        <v>5.8661000000000003</v>
      </c>
      <c r="K332" s="35"/>
    </row>
    <row r="333" spans="1:76" ht="14.4" x14ac:dyDescent="0.3">
      <c r="A333" s="32"/>
      <c r="C333" s="33" t="s">
        <v>474</v>
      </c>
      <c r="D333" s="33" t="s">
        <v>213</v>
      </c>
      <c r="F333" s="34">
        <v>67.260000000000005</v>
      </c>
      <c r="K333" s="35"/>
    </row>
    <row r="334" spans="1:76" ht="14.4" x14ac:dyDescent="0.3">
      <c r="A334" s="32"/>
      <c r="C334" s="33" t="s">
        <v>475</v>
      </c>
      <c r="D334" s="33" t="s">
        <v>51</v>
      </c>
      <c r="F334" s="34">
        <v>38.14</v>
      </c>
      <c r="K334" s="35"/>
    </row>
    <row r="335" spans="1:76" ht="14.4" x14ac:dyDescent="0.3">
      <c r="A335" s="32"/>
      <c r="C335" s="33" t="s">
        <v>476</v>
      </c>
      <c r="D335" s="33" t="s">
        <v>51</v>
      </c>
      <c r="F335" s="34">
        <v>7.1745999999999999</v>
      </c>
      <c r="K335" s="35"/>
    </row>
    <row r="336" spans="1:76" ht="14.4" x14ac:dyDescent="0.3">
      <c r="A336" s="2" t="s">
        <v>613</v>
      </c>
      <c r="B336" s="3" t="s">
        <v>614</v>
      </c>
      <c r="C336" s="87" t="s">
        <v>615</v>
      </c>
      <c r="D336" s="84"/>
      <c r="E336" s="3" t="s">
        <v>59</v>
      </c>
      <c r="F336" s="29">
        <v>25.59</v>
      </c>
      <c r="G336" s="29">
        <v>0</v>
      </c>
      <c r="H336" s="29">
        <f>F336*AO336</f>
        <v>0</v>
      </c>
      <c r="I336" s="29">
        <f>F336*AP336</f>
        <v>0</v>
      </c>
      <c r="J336" s="29">
        <f>F336*G336</f>
        <v>0</v>
      </c>
      <c r="K336" s="30" t="s">
        <v>60</v>
      </c>
      <c r="Z336" s="29">
        <f>IF(AQ336="5",BJ336,0)</f>
        <v>0</v>
      </c>
      <c r="AB336" s="29">
        <f>IF(AQ336="1",BH336,0)</f>
        <v>0</v>
      </c>
      <c r="AC336" s="29">
        <f>IF(AQ336="1",BI336,0)</f>
        <v>0</v>
      </c>
      <c r="AD336" s="29">
        <f>IF(AQ336="7",BH336,0)</f>
        <v>0</v>
      </c>
      <c r="AE336" s="29">
        <f>IF(AQ336="7",BI336,0)</f>
        <v>0</v>
      </c>
      <c r="AF336" s="29">
        <f>IF(AQ336="2",BH336,0)</f>
        <v>0</v>
      </c>
      <c r="AG336" s="29">
        <f>IF(AQ336="2",BI336,0)</f>
        <v>0</v>
      </c>
      <c r="AH336" s="29">
        <f>IF(AQ336="0",BJ336,0)</f>
        <v>0</v>
      </c>
      <c r="AI336" s="11" t="s">
        <v>433</v>
      </c>
      <c r="AJ336" s="29">
        <f>IF(AN336=0,J336,0)</f>
        <v>0</v>
      </c>
      <c r="AK336" s="29">
        <f>IF(AN336=12,J336,0)</f>
        <v>0</v>
      </c>
      <c r="AL336" s="29">
        <f>IF(AN336=21,J336,0)</f>
        <v>0</v>
      </c>
      <c r="AN336" s="29">
        <v>21</v>
      </c>
      <c r="AO336" s="29">
        <f>G336*0.710110701</f>
        <v>0</v>
      </c>
      <c r="AP336" s="29">
        <f>G336*(1-0.710110701)</f>
        <v>0</v>
      </c>
      <c r="AQ336" s="31" t="s">
        <v>56</v>
      </c>
      <c r="AV336" s="29">
        <f>AW336+AX336</f>
        <v>0</v>
      </c>
      <c r="AW336" s="29">
        <f>F336*AO336</f>
        <v>0</v>
      </c>
      <c r="AX336" s="29">
        <f>F336*AP336</f>
        <v>0</v>
      </c>
      <c r="AY336" s="31" t="s">
        <v>607</v>
      </c>
      <c r="AZ336" s="31" t="s">
        <v>438</v>
      </c>
      <c r="BA336" s="11" t="s">
        <v>439</v>
      </c>
      <c r="BC336" s="29">
        <f>AW336+AX336</f>
        <v>0</v>
      </c>
      <c r="BD336" s="29">
        <f>G336/(100-BE336)*100</f>
        <v>0</v>
      </c>
      <c r="BE336" s="29">
        <v>0</v>
      </c>
      <c r="BF336" s="29">
        <f>336</f>
        <v>336</v>
      </c>
      <c r="BH336" s="29">
        <f>F336*AO336</f>
        <v>0</v>
      </c>
      <c r="BI336" s="29">
        <f>F336*AP336</f>
        <v>0</v>
      </c>
      <c r="BJ336" s="29">
        <f>F336*G336</f>
        <v>0</v>
      </c>
      <c r="BK336" s="29"/>
      <c r="BL336" s="29">
        <v>60</v>
      </c>
      <c r="BW336" s="29">
        <v>21</v>
      </c>
      <c r="BX336" s="5" t="s">
        <v>615</v>
      </c>
    </row>
    <row r="337" spans="1:76" ht="14.4" x14ac:dyDescent="0.3">
      <c r="A337" s="32"/>
      <c r="C337" s="33" t="s">
        <v>616</v>
      </c>
      <c r="D337" s="33" t="s">
        <v>369</v>
      </c>
      <c r="F337" s="34">
        <v>1.94</v>
      </c>
      <c r="K337" s="35"/>
    </row>
    <row r="338" spans="1:76" ht="14.4" x14ac:dyDescent="0.3">
      <c r="A338" s="32"/>
      <c r="C338" s="33" t="s">
        <v>617</v>
      </c>
      <c r="D338" s="33" t="s">
        <v>371</v>
      </c>
      <c r="F338" s="34">
        <v>16.25</v>
      </c>
      <c r="K338" s="35"/>
    </row>
    <row r="339" spans="1:76" ht="14.4" x14ac:dyDescent="0.3">
      <c r="A339" s="32"/>
      <c r="C339" s="33" t="s">
        <v>618</v>
      </c>
      <c r="D339" s="33" t="s">
        <v>496</v>
      </c>
      <c r="F339" s="34">
        <v>7.4</v>
      </c>
      <c r="K339" s="35"/>
    </row>
    <row r="340" spans="1:76" ht="14.4" x14ac:dyDescent="0.3">
      <c r="A340" s="25" t="s">
        <v>51</v>
      </c>
      <c r="B340" s="26" t="s">
        <v>162</v>
      </c>
      <c r="C340" s="143" t="s">
        <v>163</v>
      </c>
      <c r="D340" s="144"/>
      <c r="E340" s="27" t="s">
        <v>4</v>
      </c>
      <c r="F340" s="27" t="s">
        <v>4</v>
      </c>
      <c r="G340" s="27" t="s">
        <v>4</v>
      </c>
      <c r="H340" s="1">
        <f>SUM(H341:H373)</f>
        <v>0</v>
      </c>
      <c r="I340" s="1">
        <f>SUM(I341:I373)</f>
        <v>0</v>
      </c>
      <c r="J340" s="1">
        <f>SUM(J341:J373)</f>
        <v>0</v>
      </c>
      <c r="K340" s="28" t="s">
        <v>51</v>
      </c>
      <c r="AI340" s="11" t="s">
        <v>433</v>
      </c>
      <c r="AS340" s="1">
        <f>SUM(AJ341:AJ373)</f>
        <v>0</v>
      </c>
      <c r="AT340" s="1">
        <f>SUM(AK341:AK373)</f>
        <v>0</v>
      </c>
      <c r="AU340" s="1">
        <f>SUM(AL341:AL373)</f>
        <v>0</v>
      </c>
    </row>
    <row r="341" spans="1:76" ht="14.4" x14ac:dyDescent="0.3">
      <c r="A341" s="2" t="s">
        <v>619</v>
      </c>
      <c r="B341" s="3" t="s">
        <v>620</v>
      </c>
      <c r="C341" s="87" t="s">
        <v>621</v>
      </c>
      <c r="D341" s="84"/>
      <c r="E341" s="3" t="s">
        <v>59</v>
      </c>
      <c r="F341" s="29">
        <v>290.57400000000001</v>
      </c>
      <c r="G341" s="29">
        <v>0</v>
      </c>
      <c r="H341" s="29">
        <f>F341*AO341</f>
        <v>0</v>
      </c>
      <c r="I341" s="29">
        <f>F341*AP341</f>
        <v>0</v>
      </c>
      <c r="J341" s="29">
        <f>F341*G341</f>
        <v>0</v>
      </c>
      <c r="K341" s="30" t="s">
        <v>60</v>
      </c>
      <c r="Z341" s="29">
        <f>IF(AQ341="5",BJ341,0)</f>
        <v>0</v>
      </c>
      <c r="AB341" s="29">
        <f>IF(AQ341="1",BH341,0)</f>
        <v>0</v>
      </c>
      <c r="AC341" s="29">
        <f>IF(AQ341="1",BI341,0)</f>
        <v>0</v>
      </c>
      <c r="AD341" s="29">
        <f>IF(AQ341="7",BH341,0)</f>
        <v>0</v>
      </c>
      <c r="AE341" s="29">
        <f>IF(AQ341="7",BI341,0)</f>
        <v>0</v>
      </c>
      <c r="AF341" s="29">
        <f>IF(AQ341="2",BH341,0)</f>
        <v>0</v>
      </c>
      <c r="AG341" s="29">
        <f>IF(AQ341="2",BI341,0)</f>
        <v>0</v>
      </c>
      <c r="AH341" s="29">
        <f>IF(AQ341="0",BJ341,0)</f>
        <v>0</v>
      </c>
      <c r="AI341" s="11" t="s">
        <v>433</v>
      </c>
      <c r="AJ341" s="29">
        <f>IF(AN341=0,J341,0)</f>
        <v>0</v>
      </c>
      <c r="AK341" s="29">
        <f>IF(AN341=12,J341,0)</f>
        <v>0</v>
      </c>
      <c r="AL341" s="29">
        <f>IF(AN341=21,J341,0)</f>
        <v>0</v>
      </c>
      <c r="AN341" s="29">
        <v>21</v>
      </c>
      <c r="AO341" s="29">
        <f>G341*0.596822632</f>
        <v>0</v>
      </c>
      <c r="AP341" s="29">
        <f>G341*(1-0.596822632)</f>
        <v>0</v>
      </c>
      <c r="AQ341" s="31" t="s">
        <v>56</v>
      </c>
      <c r="AV341" s="29">
        <f>AW341+AX341</f>
        <v>0</v>
      </c>
      <c r="AW341" s="29">
        <f>F341*AO341</f>
        <v>0</v>
      </c>
      <c r="AX341" s="29">
        <f>F341*AP341</f>
        <v>0</v>
      </c>
      <c r="AY341" s="31" t="s">
        <v>167</v>
      </c>
      <c r="AZ341" s="31" t="s">
        <v>438</v>
      </c>
      <c r="BA341" s="11" t="s">
        <v>439</v>
      </c>
      <c r="BC341" s="29">
        <f>AW341+AX341</f>
        <v>0</v>
      </c>
      <c r="BD341" s="29">
        <f>G341/(100-BE341)*100</f>
        <v>0</v>
      </c>
      <c r="BE341" s="29">
        <v>0</v>
      </c>
      <c r="BF341" s="29">
        <f>341</f>
        <v>341</v>
      </c>
      <c r="BH341" s="29">
        <f>F341*AO341</f>
        <v>0</v>
      </c>
      <c r="BI341" s="29">
        <f>F341*AP341</f>
        <v>0</v>
      </c>
      <c r="BJ341" s="29">
        <f>F341*G341</f>
        <v>0</v>
      </c>
      <c r="BK341" s="29"/>
      <c r="BL341" s="29">
        <v>62</v>
      </c>
      <c r="BW341" s="29">
        <v>21</v>
      </c>
      <c r="BX341" s="5" t="s">
        <v>621</v>
      </c>
    </row>
    <row r="342" spans="1:76" ht="14.4" x14ac:dyDescent="0.3">
      <c r="A342" s="32"/>
      <c r="C342" s="33" t="s">
        <v>622</v>
      </c>
      <c r="D342" s="33" t="s">
        <v>369</v>
      </c>
      <c r="F342" s="34">
        <v>42.4</v>
      </c>
      <c r="K342" s="35"/>
    </row>
    <row r="343" spans="1:76" ht="14.4" x14ac:dyDescent="0.3">
      <c r="A343" s="32"/>
      <c r="C343" s="33" t="s">
        <v>623</v>
      </c>
      <c r="D343" s="33" t="s">
        <v>371</v>
      </c>
      <c r="F343" s="34">
        <v>126.58</v>
      </c>
      <c r="K343" s="35"/>
    </row>
    <row r="344" spans="1:76" ht="14.4" x14ac:dyDescent="0.3">
      <c r="A344" s="32"/>
      <c r="C344" s="33" t="s">
        <v>624</v>
      </c>
      <c r="D344" s="33" t="s">
        <v>496</v>
      </c>
      <c r="F344" s="34">
        <v>92.8</v>
      </c>
      <c r="K344" s="35"/>
    </row>
    <row r="345" spans="1:76" ht="14.4" x14ac:dyDescent="0.3">
      <c r="A345" s="32"/>
      <c r="C345" s="33" t="s">
        <v>625</v>
      </c>
      <c r="D345" s="33" t="s">
        <v>626</v>
      </c>
      <c r="F345" s="34">
        <v>8.5860000000000003</v>
      </c>
      <c r="K345" s="35"/>
    </row>
    <row r="346" spans="1:76" ht="14.4" x14ac:dyDescent="0.3">
      <c r="A346" s="32"/>
      <c r="C346" s="33" t="s">
        <v>627</v>
      </c>
      <c r="D346" s="33" t="s">
        <v>51</v>
      </c>
      <c r="F346" s="34">
        <v>16.608000000000001</v>
      </c>
      <c r="K346" s="35"/>
    </row>
    <row r="347" spans="1:76" ht="14.4" x14ac:dyDescent="0.3">
      <c r="A347" s="32"/>
      <c r="C347" s="33" t="s">
        <v>628</v>
      </c>
      <c r="D347" s="33" t="s">
        <v>51</v>
      </c>
      <c r="F347" s="34">
        <v>2.16</v>
      </c>
      <c r="K347" s="35"/>
    </row>
    <row r="348" spans="1:76" ht="14.4" x14ac:dyDescent="0.3">
      <c r="A348" s="32"/>
      <c r="C348" s="33" t="s">
        <v>629</v>
      </c>
      <c r="D348" s="33" t="s">
        <v>427</v>
      </c>
      <c r="F348" s="34">
        <v>0.81</v>
      </c>
      <c r="K348" s="35"/>
    </row>
    <row r="349" spans="1:76" ht="14.4" x14ac:dyDescent="0.3">
      <c r="A349" s="32"/>
      <c r="C349" s="33" t="s">
        <v>630</v>
      </c>
      <c r="D349" s="33" t="s">
        <v>51</v>
      </c>
      <c r="F349" s="34">
        <v>0.63</v>
      </c>
      <c r="K349" s="35"/>
    </row>
    <row r="350" spans="1:76" ht="14.4" x14ac:dyDescent="0.3">
      <c r="A350" s="2" t="s">
        <v>631</v>
      </c>
      <c r="B350" s="3" t="s">
        <v>632</v>
      </c>
      <c r="C350" s="87" t="s">
        <v>633</v>
      </c>
      <c r="D350" s="84"/>
      <c r="E350" s="3" t="s">
        <v>59</v>
      </c>
      <c r="F350" s="29">
        <v>128.69999999999999</v>
      </c>
      <c r="G350" s="29">
        <v>0</v>
      </c>
      <c r="H350" s="29">
        <f>F350*AO350</f>
        <v>0</v>
      </c>
      <c r="I350" s="29">
        <f>F350*AP350</f>
        <v>0</v>
      </c>
      <c r="J350" s="29">
        <f>F350*G350</f>
        <v>0</v>
      </c>
      <c r="K350" s="30" t="s">
        <v>60</v>
      </c>
      <c r="Z350" s="29">
        <f>IF(AQ350="5",BJ350,0)</f>
        <v>0</v>
      </c>
      <c r="AB350" s="29">
        <f>IF(AQ350="1",BH350,0)</f>
        <v>0</v>
      </c>
      <c r="AC350" s="29">
        <f>IF(AQ350="1",BI350,0)</f>
        <v>0</v>
      </c>
      <c r="AD350" s="29">
        <f>IF(AQ350="7",BH350,0)</f>
        <v>0</v>
      </c>
      <c r="AE350" s="29">
        <f>IF(AQ350="7",BI350,0)</f>
        <v>0</v>
      </c>
      <c r="AF350" s="29">
        <f>IF(AQ350="2",BH350,0)</f>
        <v>0</v>
      </c>
      <c r="AG350" s="29">
        <f>IF(AQ350="2",BI350,0)</f>
        <v>0</v>
      </c>
      <c r="AH350" s="29">
        <f>IF(AQ350="0",BJ350,0)</f>
        <v>0</v>
      </c>
      <c r="AI350" s="11" t="s">
        <v>433</v>
      </c>
      <c r="AJ350" s="29">
        <f>IF(AN350=0,J350,0)</f>
        <v>0</v>
      </c>
      <c r="AK350" s="29">
        <f>IF(AN350=12,J350,0)</f>
        <v>0</v>
      </c>
      <c r="AL350" s="29">
        <f>IF(AN350=21,J350,0)</f>
        <v>0</v>
      </c>
      <c r="AN350" s="29">
        <v>21</v>
      </c>
      <c r="AO350" s="29">
        <f>G350*0.313896255</f>
        <v>0</v>
      </c>
      <c r="AP350" s="29">
        <f>G350*(1-0.313896255)</f>
        <v>0</v>
      </c>
      <c r="AQ350" s="31" t="s">
        <v>56</v>
      </c>
      <c r="AV350" s="29">
        <f>AW350+AX350</f>
        <v>0</v>
      </c>
      <c r="AW350" s="29">
        <f>F350*AO350</f>
        <v>0</v>
      </c>
      <c r="AX350" s="29">
        <f>F350*AP350</f>
        <v>0</v>
      </c>
      <c r="AY350" s="31" t="s">
        <v>167</v>
      </c>
      <c r="AZ350" s="31" t="s">
        <v>438</v>
      </c>
      <c r="BA350" s="11" t="s">
        <v>439</v>
      </c>
      <c r="BC350" s="29">
        <f>AW350+AX350</f>
        <v>0</v>
      </c>
      <c r="BD350" s="29">
        <f>G350/(100-BE350)*100</f>
        <v>0</v>
      </c>
      <c r="BE350" s="29">
        <v>0</v>
      </c>
      <c r="BF350" s="29">
        <f>350</f>
        <v>350</v>
      </c>
      <c r="BH350" s="29">
        <f>F350*AO350</f>
        <v>0</v>
      </c>
      <c r="BI350" s="29">
        <f>F350*AP350</f>
        <v>0</v>
      </c>
      <c r="BJ350" s="29">
        <f>F350*G350</f>
        <v>0</v>
      </c>
      <c r="BK350" s="29"/>
      <c r="BL350" s="29">
        <v>62</v>
      </c>
      <c r="BW350" s="29">
        <v>21</v>
      </c>
      <c r="BX350" s="5" t="s">
        <v>633</v>
      </c>
    </row>
    <row r="351" spans="1:76" ht="14.4" x14ac:dyDescent="0.3">
      <c r="A351" s="32"/>
      <c r="C351" s="33" t="s">
        <v>440</v>
      </c>
      <c r="D351" s="33" t="s">
        <v>441</v>
      </c>
      <c r="F351" s="34">
        <v>119.7</v>
      </c>
      <c r="K351" s="35"/>
    </row>
    <row r="352" spans="1:76" ht="14.4" x14ac:dyDescent="0.3">
      <c r="A352" s="32"/>
      <c r="C352" s="33" t="s">
        <v>442</v>
      </c>
      <c r="D352" s="33" t="s">
        <v>427</v>
      </c>
      <c r="F352" s="34">
        <v>9</v>
      </c>
      <c r="K352" s="35"/>
    </row>
    <row r="353" spans="1:76" ht="14.4" x14ac:dyDescent="0.3">
      <c r="A353" s="2" t="s">
        <v>634</v>
      </c>
      <c r="B353" s="3" t="s">
        <v>635</v>
      </c>
      <c r="C353" s="87" t="s">
        <v>636</v>
      </c>
      <c r="D353" s="84"/>
      <c r="E353" s="3" t="s">
        <v>59</v>
      </c>
      <c r="F353" s="29">
        <v>316.16399999999999</v>
      </c>
      <c r="G353" s="29">
        <v>0</v>
      </c>
      <c r="H353" s="29">
        <f>F353*AO353</f>
        <v>0</v>
      </c>
      <c r="I353" s="29">
        <f>F353*AP353</f>
        <v>0</v>
      </c>
      <c r="J353" s="29">
        <f>F353*G353</f>
        <v>0</v>
      </c>
      <c r="K353" s="30" t="s">
        <v>60</v>
      </c>
      <c r="Z353" s="29">
        <f>IF(AQ353="5",BJ353,0)</f>
        <v>0</v>
      </c>
      <c r="AB353" s="29">
        <f>IF(AQ353="1",BH353,0)</f>
        <v>0</v>
      </c>
      <c r="AC353" s="29">
        <f>IF(AQ353="1",BI353,0)</f>
        <v>0</v>
      </c>
      <c r="AD353" s="29">
        <f>IF(AQ353="7",BH353,0)</f>
        <v>0</v>
      </c>
      <c r="AE353" s="29">
        <f>IF(AQ353="7",BI353,0)</f>
        <v>0</v>
      </c>
      <c r="AF353" s="29">
        <f>IF(AQ353="2",BH353,0)</f>
        <v>0</v>
      </c>
      <c r="AG353" s="29">
        <f>IF(AQ353="2",BI353,0)</f>
        <v>0</v>
      </c>
      <c r="AH353" s="29">
        <f>IF(AQ353="0",BJ353,0)</f>
        <v>0</v>
      </c>
      <c r="AI353" s="11" t="s">
        <v>433</v>
      </c>
      <c r="AJ353" s="29">
        <f>IF(AN353=0,J353,0)</f>
        <v>0</v>
      </c>
      <c r="AK353" s="29">
        <f>IF(AN353=12,J353,0)</f>
        <v>0</v>
      </c>
      <c r="AL353" s="29">
        <f>IF(AN353=21,J353,0)</f>
        <v>0</v>
      </c>
      <c r="AN353" s="29">
        <v>21</v>
      </c>
      <c r="AO353" s="29">
        <f>G353*0.532714523</f>
        <v>0</v>
      </c>
      <c r="AP353" s="29">
        <f>G353*(1-0.532714523)</f>
        <v>0</v>
      </c>
      <c r="AQ353" s="31" t="s">
        <v>56</v>
      </c>
      <c r="AV353" s="29">
        <f>AW353+AX353</f>
        <v>0</v>
      </c>
      <c r="AW353" s="29">
        <f>F353*AO353</f>
        <v>0</v>
      </c>
      <c r="AX353" s="29">
        <f>F353*AP353</f>
        <v>0</v>
      </c>
      <c r="AY353" s="31" t="s">
        <v>167</v>
      </c>
      <c r="AZ353" s="31" t="s">
        <v>438</v>
      </c>
      <c r="BA353" s="11" t="s">
        <v>439</v>
      </c>
      <c r="BC353" s="29">
        <f>AW353+AX353</f>
        <v>0</v>
      </c>
      <c r="BD353" s="29">
        <f>G353/(100-BE353)*100</f>
        <v>0</v>
      </c>
      <c r="BE353" s="29">
        <v>0</v>
      </c>
      <c r="BF353" s="29">
        <f>353</f>
        <v>353</v>
      </c>
      <c r="BH353" s="29">
        <f>F353*AO353</f>
        <v>0</v>
      </c>
      <c r="BI353" s="29">
        <f>F353*AP353</f>
        <v>0</v>
      </c>
      <c r="BJ353" s="29">
        <f>F353*G353</f>
        <v>0</v>
      </c>
      <c r="BK353" s="29"/>
      <c r="BL353" s="29">
        <v>62</v>
      </c>
      <c r="BW353" s="29">
        <v>21</v>
      </c>
      <c r="BX353" s="5" t="s">
        <v>636</v>
      </c>
    </row>
    <row r="354" spans="1:76" ht="14.4" x14ac:dyDescent="0.3">
      <c r="A354" s="32"/>
      <c r="C354" s="33" t="s">
        <v>622</v>
      </c>
      <c r="D354" s="33" t="s">
        <v>369</v>
      </c>
      <c r="F354" s="34">
        <v>42.4</v>
      </c>
      <c r="K354" s="35"/>
    </row>
    <row r="355" spans="1:76" ht="14.4" x14ac:dyDescent="0.3">
      <c r="A355" s="32"/>
      <c r="C355" s="33" t="s">
        <v>623</v>
      </c>
      <c r="D355" s="33" t="s">
        <v>371</v>
      </c>
      <c r="F355" s="34">
        <v>126.58</v>
      </c>
      <c r="K355" s="35"/>
    </row>
    <row r="356" spans="1:76" ht="14.4" x14ac:dyDescent="0.3">
      <c r="A356" s="32"/>
      <c r="C356" s="33" t="s">
        <v>624</v>
      </c>
      <c r="D356" s="33" t="s">
        <v>496</v>
      </c>
      <c r="F356" s="34">
        <v>92.8</v>
      </c>
      <c r="K356" s="35"/>
    </row>
    <row r="357" spans="1:76" ht="14.4" x14ac:dyDescent="0.3">
      <c r="A357" s="32"/>
      <c r="C357" s="33" t="s">
        <v>625</v>
      </c>
      <c r="D357" s="33" t="s">
        <v>626</v>
      </c>
      <c r="F357" s="34">
        <v>8.5860000000000003</v>
      </c>
      <c r="K357" s="35"/>
    </row>
    <row r="358" spans="1:76" ht="14.4" x14ac:dyDescent="0.3">
      <c r="A358" s="32"/>
      <c r="C358" s="33" t="s">
        <v>627</v>
      </c>
      <c r="D358" s="33" t="s">
        <v>51</v>
      </c>
      <c r="F358" s="34">
        <v>16.608000000000001</v>
      </c>
      <c r="K358" s="35"/>
    </row>
    <row r="359" spans="1:76" ht="14.4" x14ac:dyDescent="0.3">
      <c r="A359" s="32"/>
      <c r="C359" s="33" t="s">
        <v>628</v>
      </c>
      <c r="D359" s="33" t="s">
        <v>51</v>
      </c>
      <c r="F359" s="34">
        <v>2.16</v>
      </c>
      <c r="K359" s="35"/>
    </row>
    <row r="360" spans="1:76" ht="14.4" x14ac:dyDescent="0.3">
      <c r="A360" s="32"/>
      <c r="C360" s="33" t="s">
        <v>629</v>
      </c>
      <c r="D360" s="33" t="s">
        <v>427</v>
      </c>
      <c r="F360" s="34">
        <v>0.81</v>
      </c>
      <c r="K360" s="35"/>
    </row>
    <row r="361" spans="1:76" ht="14.4" x14ac:dyDescent="0.3">
      <c r="A361" s="32"/>
      <c r="C361" s="33" t="s">
        <v>630</v>
      </c>
      <c r="D361" s="33" t="s">
        <v>51</v>
      </c>
      <c r="F361" s="34">
        <v>0.63</v>
      </c>
      <c r="K361" s="35"/>
    </row>
    <row r="362" spans="1:76" ht="14.4" x14ac:dyDescent="0.3">
      <c r="A362" s="32"/>
      <c r="C362" s="33" t="s">
        <v>637</v>
      </c>
      <c r="D362" s="33" t="s">
        <v>638</v>
      </c>
      <c r="F362" s="34">
        <v>25.59</v>
      </c>
      <c r="K362" s="35"/>
    </row>
    <row r="363" spans="1:76" ht="14.4" x14ac:dyDescent="0.3">
      <c r="A363" s="2" t="s">
        <v>639</v>
      </c>
      <c r="B363" s="3" t="s">
        <v>640</v>
      </c>
      <c r="C363" s="87" t="s">
        <v>641</v>
      </c>
      <c r="D363" s="84"/>
      <c r="E363" s="3" t="s">
        <v>59</v>
      </c>
      <c r="F363" s="29">
        <v>316.154</v>
      </c>
      <c r="G363" s="29">
        <v>0</v>
      </c>
      <c r="H363" s="29">
        <f>F363*AO363</f>
        <v>0</v>
      </c>
      <c r="I363" s="29">
        <f>F363*AP363</f>
        <v>0</v>
      </c>
      <c r="J363" s="29">
        <f>F363*G363</f>
        <v>0</v>
      </c>
      <c r="K363" s="30" t="s">
        <v>60</v>
      </c>
      <c r="Z363" s="29">
        <f>IF(AQ363="5",BJ363,0)</f>
        <v>0</v>
      </c>
      <c r="AB363" s="29">
        <f>IF(AQ363="1",BH363,0)</f>
        <v>0</v>
      </c>
      <c r="AC363" s="29">
        <f>IF(AQ363="1",BI363,0)</f>
        <v>0</v>
      </c>
      <c r="AD363" s="29">
        <f>IF(AQ363="7",BH363,0)</f>
        <v>0</v>
      </c>
      <c r="AE363" s="29">
        <f>IF(AQ363="7",BI363,0)</f>
        <v>0</v>
      </c>
      <c r="AF363" s="29">
        <f>IF(AQ363="2",BH363,0)</f>
        <v>0</v>
      </c>
      <c r="AG363" s="29">
        <f>IF(AQ363="2",BI363,0)</f>
        <v>0</v>
      </c>
      <c r="AH363" s="29">
        <f>IF(AQ363="0",BJ363,0)</f>
        <v>0</v>
      </c>
      <c r="AI363" s="11" t="s">
        <v>433</v>
      </c>
      <c r="AJ363" s="29">
        <f>IF(AN363=0,J363,0)</f>
        <v>0</v>
      </c>
      <c r="AK363" s="29">
        <f>IF(AN363=12,J363,0)</f>
        <v>0</v>
      </c>
      <c r="AL363" s="29">
        <f>IF(AN363=21,J363,0)</f>
        <v>0</v>
      </c>
      <c r="AN363" s="29">
        <v>21</v>
      </c>
      <c r="AO363" s="29">
        <f>G363*0.553573713</f>
        <v>0</v>
      </c>
      <c r="AP363" s="29">
        <f>G363*(1-0.553573713)</f>
        <v>0</v>
      </c>
      <c r="AQ363" s="31" t="s">
        <v>56</v>
      </c>
      <c r="AV363" s="29">
        <f>AW363+AX363</f>
        <v>0</v>
      </c>
      <c r="AW363" s="29">
        <f>F363*AO363</f>
        <v>0</v>
      </c>
      <c r="AX363" s="29">
        <f>F363*AP363</f>
        <v>0</v>
      </c>
      <c r="AY363" s="31" t="s">
        <v>167</v>
      </c>
      <c r="AZ363" s="31" t="s">
        <v>438</v>
      </c>
      <c r="BA363" s="11" t="s">
        <v>439</v>
      </c>
      <c r="BC363" s="29">
        <f>AW363+AX363</f>
        <v>0</v>
      </c>
      <c r="BD363" s="29">
        <f>G363/(100-BE363)*100</f>
        <v>0</v>
      </c>
      <c r="BE363" s="29">
        <v>0</v>
      </c>
      <c r="BF363" s="29">
        <f>363</f>
        <v>363</v>
      </c>
      <c r="BH363" s="29">
        <f>F363*AO363</f>
        <v>0</v>
      </c>
      <c r="BI363" s="29">
        <f>F363*AP363</f>
        <v>0</v>
      </c>
      <c r="BJ363" s="29">
        <f>F363*G363</f>
        <v>0</v>
      </c>
      <c r="BK363" s="29"/>
      <c r="BL363" s="29">
        <v>62</v>
      </c>
      <c r="BW363" s="29">
        <v>21</v>
      </c>
      <c r="BX363" s="5" t="s">
        <v>641</v>
      </c>
    </row>
    <row r="364" spans="1:76" ht="14.4" x14ac:dyDescent="0.3">
      <c r="A364" s="32"/>
      <c r="C364" s="33" t="s">
        <v>622</v>
      </c>
      <c r="D364" s="33" t="s">
        <v>369</v>
      </c>
      <c r="F364" s="34">
        <v>42.4</v>
      </c>
      <c r="K364" s="35"/>
    </row>
    <row r="365" spans="1:76" ht="14.4" x14ac:dyDescent="0.3">
      <c r="A365" s="32"/>
      <c r="C365" s="33" t="s">
        <v>623</v>
      </c>
      <c r="D365" s="33" t="s">
        <v>371</v>
      </c>
      <c r="F365" s="34">
        <v>126.58</v>
      </c>
      <c r="K365" s="35"/>
    </row>
    <row r="366" spans="1:76" ht="14.4" x14ac:dyDescent="0.3">
      <c r="A366" s="32"/>
      <c r="C366" s="33" t="s">
        <v>624</v>
      </c>
      <c r="D366" s="33" t="s">
        <v>496</v>
      </c>
      <c r="F366" s="34">
        <v>92.8</v>
      </c>
      <c r="K366" s="35"/>
    </row>
    <row r="367" spans="1:76" ht="14.4" x14ac:dyDescent="0.3">
      <c r="A367" s="32"/>
      <c r="C367" s="33" t="s">
        <v>625</v>
      </c>
      <c r="D367" s="33" t="s">
        <v>626</v>
      </c>
      <c r="F367" s="34">
        <v>8.5860000000000003</v>
      </c>
      <c r="K367" s="35"/>
    </row>
    <row r="368" spans="1:76" ht="14.4" x14ac:dyDescent="0.3">
      <c r="A368" s="32"/>
      <c r="C368" s="33" t="s">
        <v>627</v>
      </c>
      <c r="D368" s="33" t="s">
        <v>51</v>
      </c>
      <c r="F368" s="34">
        <v>16.608000000000001</v>
      </c>
      <c r="K368" s="35"/>
    </row>
    <row r="369" spans="1:76" ht="14.4" x14ac:dyDescent="0.3">
      <c r="A369" s="32"/>
      <c r="C369" s="33" t="s">
        <v>628</v>
      </c>
      <c r="D369" s="33" t="s">
        <v>51</v>
      </c>
      <c r="F369" s="34">
        <v>2.16</v>
      </c>
      <c r="K369" s="35"/>
    </row>
    <row r="370" spans="1:76" ht="14.4" x14ac:dyDescent="0.3">
      <c r="A370" s="32"/>
      <c r="C370" s="33" t="s">
        <v>629</v>
      </c>
      <c r="D370" s="33" t="s">
        <v>427</v>
      </c>
      <c r="F370" s="34">
        <v>0.81</v>
      </c>
      <c r="K370" s="35"/>
    </row>
    <row r="371" spans="1:76" ht="14.4" x14ac:dyDescent="0.3">
      <c r="A371" s="32"/>
      <c r="C371" s="33" t="s">
        <v>630</v>
      </c>
      <c r="D371" s="33" t="s">
        <v>51</v>
      </c>
      <c r="F371" s="34">
        <v>0.63</v>
      </c>
      <c r="K371" s="35"/>
    </row>
    <row r="372" spans="1:76" ht="14.4" x14ac:dyDescent="0.3">
      <c r="A372" s="32"/>
      <c r="C372" s="33" t="s">
        <v>642</v>
      </c>
      <c r="D372" s="33" t="s">
        <v>638</v>
      </c>
      <c r="F372" s="34">
        <v>25.58</v>
      </c>
      <c r="K372" s="35"/>
    </row>
    <row r="373" spans="1:76" ht="14.4" x14ac:dyDescent="0.3">
      <c r="A373" s="2" t="s">
        <v>643</v>
      </c>
      <c r="B373" s="3" t="s">
        <v>644</v>
      </c>
      <c r="C373" s="87" t="s">
        <v>645</v>
      </c>
      <c r="D373" s="84"/>
      <c r="E373" s="3" t="s">
        <v>59</v>
      </c>
      <c r="F373" s="29">
        <v>386.154</v>
      </c>
      <c r="G373" s="29">
        <v>0</v>
      </c>
      <c r="H373" s="29">
        <f>F373*AO373</f>
        <v>0</v>
      </c>
      <c r="I373" s="29">
        <f>F373*AP373</f>
        <v>0</v>
      </c>
      <c r="J373" s="29">
        <f>F373*G373</f>
        <v>0</v>
      </c>
      <c r="K373" s="30" t="s">
        <v>60</v>
      </c>
      <c r="Z373" s="29">
        <f>IF(AQ373="5",BJ373,0)</f>
        <v>0</v>
      </c>
      <c r="AB373" s="29">
        <f>IF(AQ373="1",BH373,0)</f>
        <v>0</v>
      </c>
      <c r="AC373" s="29">
        <f>IF(AQ373="1",BI373,0)</f>
        <v>0</v>
      </c>
      <c r="AD373" s="29">
        <f>IF(AQ373="7",BH373,0)</f>
        <v>0</v>
      </c>
      <c r="AE373" s="29">
        <f>IF(AQ373="7",BI373,0)</f>
        <v>0</v>
      </c>
      <c r="AF373" s="29">
        <f>IF(AQ373="2",BH373,0)</f>
        <v>0</v>
      </c>
      <c r="AG373" s="29">
        <f>IF(AQ373="2",BI373,0)</f>
        <v>0</v>
      </c>
      <c r="AH373" s="29">
        <f>IF(AQ373="0",BJ373,0)</f>
        <v>0</v>
      </c>
      <c r="AI373" s="11" t="s">
        <v>433</v>
      </c>
      <c r="AJ373" s="29">
        <f>IF(AN373=0,J373,0)</f>
        <v>0</v>
      </c>
      <c r="AK373" s="29">
        <f>IF(AN373=12,J373,0)</f>
        <v>0</v>
      </c>
      <c r="AL373" s="29">
        <f>IF(AN373=21,J373,0)</f>
        <v>0</v>
      </c>
      <c r="AN373" s="29">
        <v>21</v>
      </c>
      <c r="AO373" s="29">
        <f>G373*0.265633809</f>
        <v>0</v>
      </c>
      <c r="AP373" s="29">
        <f>G373*(1-0.265633809)</f>
        <v>0</v>
      </c>
      <c r="AQ373" s="31" t="s">
        <v>56</v>
      </c>
      <c r="AV373" s="29">
        <f>AW373+AX373</f>
        <v>0</v>
      </c>
      <c r="AW373" s="29">
        <f>F373*AO373</f>
        <v>0</v>
      </c>
      <c r="AX373" s="29">
        <f>F373*AP373</f>
        <v>0</v>
      </c>
      <c r="AY373" s="31" t="s">
        <v>167</v>
      </c>
      <c r="AZ373" s="31" t="s">
        <v>438</v>
      </c>
      <c r="BA373" s="11" t="s">
        <v>439</v>
      </c>
      <c r="BC373" s="29">
        <f>AW373+AX373</f>
        <v>0</v>
      </c>
      <c r="BD373" s="29">
        <f>G373/(100-BE373)*100</f>
        <v>0</v>
      </c>
      <c r="BE373" s="29">
        <v>0</v>
      </c>
      <c r="BF373" s="29">
        <f>373</f>
        <v>373</v>
      </c>
      <c r="BH373" s="29">
        <f>F373*AO373</f>
        <v>0</v>
      </c>
      <c r="BI373" s="29">
        <f>F373*AP373</f>
        <v>0</v>
      </c>
      <c r="BJ373" s="29">
        <f>F373*G373</f>
        <v>0</v>
      </c>
      <c r="BK373" s="29"/>
      <c r="BL373" s="29">
        <v>62</v>
      </c>
      <c r="BW373" s="29">
        <v>21</v>
      </c>
      <c r="BX373" s="5" t="s">
        <v>645</v>
      </c>
    </row>
    <row r="374" spans="1:76" ht="14.4" x14ac:dyDescent="0.3">
      <c r="A374" s="32"/>
      <c r="C374" s="33" t="s">
        <v>622</v>
      </c>
      <c r="D374" s="33" t="s">
        <v>369</v>
      </c>
      <c r="F374" s="34">
        <v>42.4</v>
      </c>
      <c r="K374" s="35"/>
    </row>
    <row r="375" spans="1:76" ht="14.4" x14ac:dyDescent="0.3">
      <c r="A375" s="32"/>
      <c r="C375" s="33" t="s">
        <v>623</v>
      </c>
      <c r="D375" s="33" t="s">
        <v>371</v>
      </c>
      <c r="F375" s="34">
        <v>126.58</v>
      </c>
      <c r="K375" s="35"/>
    </row>
    <row r="376" spans="1:76" ht="14.4" x14ac:dyDescent="0.3">
      <c r="A376" s="32"/>
      <c r="C376" s="33" t="s">
        <v>624</v>
      </c>
      <c r="D376" s="33" t="s">
        <v>496</v>
      </c>
      <c r="F376" s="34">
        <v>92.8</v>
      </c>
      <c r="K376" s="35"/>
    </row>
    <row r="377" spans="1:76" ht="14.4" x14ac:dyDescent="0.3">
      <c r="A377" s="32"/>
      <c r="C377" s="33" t="s">
        <v>625</v>
      </c>
      <c r="D377" s="33" t="s">
        <v>626</v>
      </c>
      <c r="F377" s="34">
        <v>8.5860000000000003</v>
      </c>
      <c r="K377" s="35"/>
    </row>
    <row r="378" spans="1:76" ht="14.4" x14ac:dyDescent="0.3">
      <c r="A378" s="32"/>
      <c r="C378" s="33" t="s">
        <v>627</v>
      </c>
      <c r="D378" s="33" t="s">
        <v>51</v>
      </c>
      <c r="F378" s="34">
        <v>16.608000000000001</v>
      </c>
      <c r="K378" s="35"/>
    </row>
    <row r="379" spans="1:76" ht="14.4" x14ac:dyDescent="0.3">
      <c r="A379" s="32"/>
      <c r="C379" s="33" t="s">
        <v>628</v>
      </c>
      <c r="D379" s="33" t="s">
        <v>51</v>
      </c>
      <c r="F379" s="34">
        <v>2.16</v>
      </c>
      <c r="K379" s="35"/>
    </row>
    <row r="380" spans="1:76" ht="14.4" x14ac:dyDescent="0.3">
      <c r="A380" s="32"/>
      <c r="C380" s="33" t="s">
        <v>629</v>
      </c>
      <c r="D380" s="33" t="s">
        <v>427</v>
      </c>
      <c r="F380" s="34">
        <v>0.81</v>
      </c>
      <c r="K380" s="35"/>
    </row>
    <row r="381" spans="1:76" ht="14.4" x14ac:dyDescent="0.3">
      <c r="A381" s="32"/>
      <c r="C381" s="33" t="s">
        <v>630</v>
      </c>
      <c r="D381" s="33" t="s">
        <v>51</v>
      </c>
      <c r="F381" s="34">
        <v>0.63</v>
      </c>
      <c r="K381" s="35"/>
    </row>
    <row r="382" spans="1:76" ht="14.4" x14ac:dyDescent="0.3">
      <c r="A382" s="32"/>
      <c r="C382" s="33" t="s">
        <v>646</v>
      </c>
      <c r="D382" s="33" t="s">
        <v>647</v>
      </c>
      <c r="F382" s="34">
        <v>70</v>
      </c>
      <c r="K382" s="35"/>
    </row>
    <row r="383" spans="1:76" ht="14.4" x14ac:dyDescent="0.3">
      <c r="A383" s="32"/>
      <c r="C383" s="33" t="s">
        <v>642</v>
      </c>
      <c r="D383" s="33" t="s">
        <v>638</v>
      </c>
      <c r="F383" s="34">
        <v>25.58</v>
      </c>
      <c r="K383" s="35"/>
    </row>
    <row r="384" spans="1:76" ht="14.4" x14ac:dyDescent="0.3">
      <c r="A384" s="25" t="s">
        <v>51</v>
      </c>
      <c r="B384" s="26" t="s">
        <v>421</v>
      </c>
      <c r="C384" s="143" t="s">
        <v>648</v>
      </c>
      <c r="D384" s="144"/>
      <c r="E384" s="27" t="s">
        <v>4</v>
      </c>
      <c r="F384" s="27" t="s">
        <v>4</v>
      </c>
      <c r="G384" s="27" t="s">
        <v>4</v>
      </c>
      <c r="H384" s="1">
        <f>SUM(H385:H400)</f>
        <v>0</v>
      </c>
      <c r="I384" s="1">
        <f>SUM(I385:I400)</f>
        <v>0</v>
      </c>
      <c r="J384" s="1">
        <f>SUM(J385:J400)</f>
        <v>0</v>
      </c>
      <c r="K384" s="28" t="s">
        <v>51</v>
      </c>
      <c r="AI384" s="11" t="s">
        <v>433</v>
      </c>
      <c r="AS384" s="1">
        <f>SUM(AJ385:AJ400)</f>
        <v>0</v>
      </c>
      <c r="AT384" s="1">
        <f>SUM(AK385:AK400)</f>
        <v>0</v>
      </c>
      <c r="AU384" s="1">
        <f>SUM(AL385:AL400)</f>
        <v>0</v>
      </c>
    </row>
    <row r="385" spans="1:76" ht="26.4" x14ac:dyDescent="0.3">
      <c r="A385" s="2" t="s">
        <v>649</v>
      </c>
      <c r="B385" s="3" t="s">
        <v>650</v>
      </c>
      <c r="C385" s="87" t="s">
        <v>651</v>
      </c>
      <c r="D385" s="84"/>
      <c r="E385" s="3" t="s">
        <v>59</v>
      </c>
      <c r="F385" s="29">
        <v>1.8</v>
      </c>
      <c r="G385" s="29">
        <v>0</v>
      </c>
      <c r="H385" s="29">
        <f>F385*AO385</f>
        <v>0</v>
      </c>
      <c r="I385" s="29">
        <f>F385*AP385</f>
        <v>0</v>
      </c>
      <c r="J385" s="29">
        <f>F385*G385</f>
        <v>0</v>
      </c>
      <c r="K385" s="30" t="s">
        <v>60</v>
      </c>
      <c r="Z385" s="29">
        <f>IF(AQ385="5",BJ385,0)</f>
        <v>0</v>
      </c>
      <c r="AB385" s="29">
        <f>IF(AQ385="1",BH385,0)</f>
        <v>0</v>
      </c>
      <c r="AC385" s="29">
        <f>IF(AQ385="1",BI385,0)</f>
        <v>0</v>
      </c>
      <c r="AD385" s="29">
        <f>IF(AQ385="7",BH385,0)</f>
        <v>0</v>
      </c>
      <c r="AE385" s="29">
        <f>IF(AQ385="7",BI385,0)</f>
        <v>0</v>
      </c>
      <c r="AF385" s="29">
        <f>IF(AQ385="2",BH385,0)</f>
        <v>0</v>
      </c>
      <c r="AG385" s="29">
        <f>IF(AQ385="2",BI385,0)</f>
        <v>0</v>
      </c>
      <c r="AH385" s="29">
        <f>IF(AQ385="0",BJ385,0)</f>
        <v>0</v>
      </c>
      <c r="AI385" s="11" t="s">
        <v>433</v>
      </c>
      <c r="AJ385" s="29">
        <f>IF(AN385=0,J385,0)</f>
        <v>0</v>
      </c>
      <c r="AK385" s="29">
        <f>IF(AN385=12,J385,0)</f>
        <v>0</v>
      </c>
      <c r="AL385" s="29">
        <f>IF(AN385=21,J385,0)</f>
        <v>0</v>
      </c>
      <c r="AN385" s="29">
        <v>21</v>
      </c>
      <c r="AO385" s="29">
        <f>G385*0</f>
        <v>0</v>
      </c>
      <c r="AP385" s="29">
        <f>G385*(1-0)</f>
        <v>0</v>
      </c>
      <c r="AQ385" s="31" t="s">
        <v>56</v>
      </c>
      <c r="AV385" s="29">
        <f>AW385+AX385</f>
        <v>0</v>
      </c>
      <c r="AW385" s="29">
        <f>F385*AO385</f>
        <v>0</v>
      </c>
      <c r="AX385" s="29">
        <f>F385*AP385</f>
        <v>0</v>
      </c>
      <c r="AY385" s="31" t="s">
        <v>652</v>
      </c>
      <c r="AZ385" s="31" t="s">
        <v>438</v>
      </c>
      <c r="BA385" s="11" t="s">
        <v>439</v>
      </c>
      <c r="BC385" s="29">
        <f>AW385+AX385</f>
        <v>0</v>
      </c>
      <c r="BD385" s="29">
        <f>G385/(100-BE385)*100</f>
        <v>0</v>
      </c>
      <c r="BE385" s="29">
        <v>0</v>
      </c>
      <c r="BF385" s="29">
        <f>385</f>
        <v>385</v>
      </c>
      <c r="BH385" s="29">
        <f>F385*AO385</f>
        <v>0</v>
      </c>
      <c r="BI385" s="29">
        <f>F385*AP385</f>
        <v>0</v>
      </c>
      <c r="BJ385" s="29">
        <f>F385*G385</f>
        <v>0</v>
      </c>
      <c r="BK385" s="29"/>
      <c r="BL385" s="29">
        <v>63</v>
      </c>
      <c r="BW385" s="29">
        <v>21</v>
      </c>
      <c r="BX385" s="5" t="s">
        <v>651</v>
      </c>
    </row>
    <row r="386" spans="1:76" ht="14.4" x14ac:dyDescent="0.3">
      <c r="A386" s="32"/>
      <c r="C386" s="33" t="s">
        <v>653</v>
      </c>
      <c r="D386" s="33" t="s">
        <v>654</v>
      </c>
      <c r="F386" s="34">
        <v>1.8</v>
      </c>
      <c r="K386" s="35"/>
    </row>
    <row r="387" spans="1:76" ht="14.4" x14ac:dyDescent="0.3">
      <c r="A387" s="2" t="s">
        <v>655</v>
      </c>
      <c r="B387" s="3" t="s">
        <v>656</v>
      </c>
      <c r="C387" s="87" t="s">
        <v>657</v>
      </c>
      <c r="D387" s="84"/>
      <c r="E387" s="3" t="s">
        <v>59</v>
      </c>
      <c r="F387" s="29">
        <v>1.8</v>
      </c>
      <c r="G387" s="29">
        <v>0</v>
      </c>
      <c r="H387" s="29">
        <f>F387*AO387</f>
        <v>0</v>
      </c>
      <c r="I387" s="29">
        <f>F387*AP387</f>
        <v>0</v>
      </c>
      <c r="J387" s="29">
        <f>F387*G387</f>
        <v>0</v>
      </c>
      <c r="K387" s="30" t="s">
        <v>60</v>
      </c>
      <c r="Z387" s="29">
        <f>IF(AQ387="5",BJ387,0)</f>
        <v>0</v>
      </c>
      <c r="AB387" s="29">
        <f>IF(AQ387="1",BH387,0)</f>
        <v>0</v>
      </c>
      <c r="AC387" s="29">
        <f>IF(AQ387="1",BI387,0)</f>
        <v>0</v>
      </c>
      <c r="AD387" s="29">
        <f>IF(AQ387="7",BH387,0)</f>
        <v>0</v>
      </c>
      <c r="AE387" s="29">
        <f>IF(AQ387="7",BI387,0)</f>
        <v>0</v>
      </c>
      <c r="AF387" s="29">
        <f>IF(AQ387="2",BH387,0)</f>
        <v>0</v>
      </c>
      <c r="AG387" s="29">
        <f>IF(AQ387="2",BI387,0)</f>
        <v>0</v>
      </c>
      <c r="AH387" s="29">
        <f>IF(AQ387="0",BJ387,0)</f>
        <v>0</v>
      </c>
      <c r="AI387" s="11" t="s">
        <v>433</v>
      </c>
      <c r="AJ387" s="29">
        <f>IF(AN387=0,J387,0)</f>
        <v>0</v>
      </c>
      <c r="AK387" s="29">
        <f>IF(AN387=12,J387,0)</f>
        <v>0</v>
      </c>
      <c r="AL387" s="29">
        <f>IF(AN387=21,J387,0)</f>
        <v>0</v>
      </c>
      <c r="AN387" s="29">
        <v>21</v>
      </c>
      <c r="AO387" s="29">
        <f>G387*0.694007681</f>
        <v>0</v>
      </c>
      <c r="AP387" s="29">
        <f>G387*(1-0.694007681)</f>
        <v>0</v>
      </c>
      <c r="AQ387" s="31" t="s">
        <v>56</v>
      </c>
      <c r="AV387" s="29">
        <f>AW387+AX387</f>
        <v>0</v>
      </c>
      <c r="AW387" s="29">
        <f>F387*AO387</f>
        <v>0</v>
      </c>
      <c r="AX387" s="29">
        <f>F387*AP387</f>
        <v>0</v>
      </c>
      <c r="AY387" s="31" t="s">
        <v>652</v>
      </c>
      <c r="AZ387" s="31" t="s">
        <v>438</v>
      </c>
      <c r="BA387" s="11" t="s">
        <v>439</v>
      </c>
      <c r="BC387" s="29">
        <f>AW387+AX387</f>
        <v>0</v>
      </c>
      <c r="BD387" s="29">
        <f>G387/(100-BE387)*100</f>
        <v>0</v>
      </c>
      <c r="BE387" s="29">
        <v>0</v>
      </c>
      <c r="BF387" s="29">
        <f>387</f>
        <v>387</v>
      </c>
      <c r="BH387" s="29">
        <f>F387*AO387</f>
        <v>0</v>
      </c>
      <c r="BI387" s="29">
        <f>F387*AP387</f>
        <v>0</v>
      </c>
      <c r="BJ387" s="29">
        <f>F387*G387</f>
        <v>0</v>
      </c>
      <c r="BK387" s="29"/>
      <c r="BL387" s="29">
        <v>63</v>
      </c>
      <c r="BW387" s="29">
        <v>21</v>
      </c>
      <c r="BX387" s="5" t="s">
        <v>657</v>
      </c>
    </row>
    <row r="388" spans="1:76" ht="14.4" x14ac:dyDescent="0.3">
      <c r="A388" s="32"/>
      <c r="C388" s="33" t="s">
        <v>658</v>
      </c>
      <c r="D388" s="33" t="s">
        <v>51</v>
      </c>
      <c r="F388" s="34">
        <v>1.8</v>
      </c>
      <c r="K388" s="35"/>
    </row>
    <row r="389" spans="1:76" ht="26.4" x14ac:dyDescent="0.3">
      <c r="A389" s="2" t="s">
        <v>659</v>
      </c>
      <c r="B389" s="3" t="s">
        <v>660</v>
      </c>
      <c r="C389" s="87" t="s">
        <v>661</v>
      </c>
      <c r="D389" s="84"/>
      <c r="E389" s="3" t="s">
        <v>59</v>
      </c>
      <c r="F389" s="29">
        <v>179.405</v>
      </c>
      <c r="G389" s="29">
        <v>0</v>
      </c>
      <c r="H389" s="29">
        <f>F389*AO389</f>
        <v>0</v>
      </c>
      <c r="I389" s="29">
        <f>F389*AP389</f>
        <v>0</v>
      </c>
      <c r="J389" s="29">
        <f>F389*G389</f>
        <v>0</v>
      </c>
      <c r="K389" s="30" t="s">
        <v>60</v>
      </c>
      <c r="Z389" s="29">
        <f>IF(AQ389="5",BJ389,0)</f>
        <v>0</v>
      </c>
      <c r="AB389" s="29">
        <f>IF(AQ389="1",BH389,0)</f>
        <v>0</v>
      </c>
      <c r="AC389" s="29">
        <f>IF(AQ389="1",BI389,0)</f>
        <v>0</v>
      </c>
      <c r="AD389" s="29">
        <f>IF(AQ389="7",BH389,0)</f>
        <v>0</v>
      </c>
      <c r="AE389" s="29">
        <f>IF(AQ389="7",BI389,0)</f>
        <v>0</v>
      </c>
      <c r="AF389" s="29">
        <f>IF(AQ389="2",BH389,0)</f>
        <v>0</v>
      </c>
      <c r="AG389" s="29">
        <f>IF(AQ389="2",BI389,0)</f>
        <v>0</v>
      </c>
      <c r="AH389" s="29">
        <f>IF(AQ389="0",BJ389,0)</f>
        <v>0</v>
      </c>
      <c r="AI389" s="11" t="s">
        <v>433</v>
      </c>
      <c r="AJ389" s="29">
        <f>IF(AN389=0,J389,0)</f>
        <v>0</v>
      </c>
      <c r="AK389" s="29">
        <f>IF(AN389=12,J389,0)</f>
        <v>0</v>
      </c>
      <c r="AL389" s="29">
        <f>IF(AN389=21,J389,0)</f>
        <v>0</v>
      </c>
      <c r="AN389" s="29">
        <v>21</v>
      </c>
      <c r="AO389" s="29">
        <f>G389*0.3298589</f>
        <v>0</v>
      </c>
      <c r="AP389" s="29">
        <f>G389*(1-0.3298589)</f>
        <v>0</v>
      </c>
      <c r="AQ389" s="31" t="s">
        <v>56</v>
      </c>
      <c r="AV389" s="29">
        <f>AW389+AX389</f>
        <v>0</v>
      </c>
      <c r="AW389" s="29">
        <f>F389*AO389</f>
        <v>0</v>
      </c>
      <c r="AX389" s="29">
        <f>F389*AP389</f>
        <v>0</v>
      </c>
      <c r="AY389" s="31" t="s">
        <v>652</v>
      </c>
      <c r="AZ389" s="31" t="s">
        <v>438</v>
      </c>
      <c r="BA389" s="11" t="s">
        <v>439</v>
      </c>
      <c r="BC389" s="29">
        <f>AW389+AX389</f>
        <v>0</v>
      </c>
      <c r="BD389" s="29">
        <f>G389/(100-BE389)*100</f>
        <v>0</v>
      </c>
      <c r="BE389" s="29">
        <v>0</v>
      </c>
      <c r="BF389" s="29">
        <f>389</f>
        <v>389</v>
      </c>
      <c r="BH389" s="29">
        <f>F389*AO389</f>
        <v>0</v>
      </c>
      <c r="BI389" s="29">
        <f>F389*AP389</f>
        <v>0</v>
      </c>
      <c r="BJ389" s="29">
        <f>F389*G389</f>
        <v>0</v>
      </c>
      <c r="BK389" s="29"/>
      <c r="BL389" s="29">
        <v>63</v>
      </c>
      <c r="BW389" s="29">
        <v>21</v>
      </c>
      <c r="BX389" s="5" t="s">
        <v>661</v>
      </c>
    </row>
    <row r="390" spans="1:76" ht="14.4" x14ac:dyDescent="0.3">
      <c r="A390" s="32"/>
      <c r="C390" s="33" t="s">
        <v>575</v>
      </c>
      <c r="D390" s="33" t="s">
        <v>211</v>
      </c>
      <c r="F390" s="34">
        <v>179.405</v>
      </c>
      <c r="K390" s="35"/>
    </row>
    <row r="391" spans="1:76" ht="14.4" x14ac:dyDescent="0.3">
      <c r="A391" s="2" t="s">
        <v>662</v>
      </c>
      <c r="B391" s="3" t="s">
        <v>663</v>
      </c>
      <c r="C391" s="87" t="s">
        <v>664</v>
      </c>
      <c r="D391" s="84"/>
      <c r="E391" s="3" t="s">
        <v>59</v>
      </c>
      <c r="F391" s="29">
        <v>360.92</v>
      </c>
      <c r="G391" s="29">
        <v>0</v>
      </c>
      <c r="H391" s="29">
        <f>F391*AO391</f>
        <v>0</v>
      </c>
      <c r="I391" s="29">
        <f>F391*AP391</f>
        <v>0</v>
      </c>
      <c r="J391" s="29">
        <f>F391*G391</f>
        <v>0</v>
      </c>
      <c r="K391" s="30" t="s">
        <v>60</v>
      </c>
      <c r="Z391" s="29">
        <f>IF(AQ391="5",BJ391,0)</f>
        <v>0</v>
      </c>
      <c r="AB391" s="29">
        <f>IF(AQ391="1",BH391,0)</f>
        <v>0</v>
      </c>
      <c r="AC391" s="29">
        <f>IF(AQ391="1",BI391,0)</f>
        <v>0</v>
      </c>
      <c r="AD391" s="29">
        <f>IF(AQ391="7",BH391,0)</f>
        <v>0</v>
      </c>
      <c r="AE391" s="29">
        <f>IF(AQ391="7",BI391,0)</f>
        <v>0</v>
      </c>
      <c r="AF391" s="29">
        <f>IF(AQ391="2",BH391,0)</f>
        <v>0</v>
      </c>
      <c r="AG391" s="29">
        <f>IF(AQ391="2",BI391,0)</f>
        <v>0</v>
      </c>
      <c r="AH391" s="29">
        <f>IF(AQ391="0",BJ391,0)</f>
        <v>0</v>
      </c>
      <c r="AI391" s="11" t="s">
        <v>433</v>
      </c>
      <c r="AJ391" s="29">
        <f>IF(AN391=0,J391,0)</f>
        <v>0</v>
      </c>
      <c r="AK391" s="29">
        <f>IF(AN391=12,J391,0)</f>
        <v>0</v>
      </c>
      <c r="AL391" s="29">
        <f>IF(AN391=21,J391,0)</f>
        <v>0</v>
      </c>
      <c r="AN391" s="29">
        <v>21</v>
      </c>
      <c r="AO391" s="29">
        <f>G391*0.379256595</f>
        <v>0</v>
      </c>
      <c r="AP391" s="29">
        <f>G391*(1-0.379256595)</f>
        <v>0</v>
      </c>
      <c r="AQ391" s="31" t="s">
        <v>56</v>
      </c>
      <c r="AV391" s="29">
        <f>AW391+AX391</f>
        <v>0</v>
      </c>
      <c r="AW391" s="29">
        <f>F391*AO391</f>
        <v>0</v>
      </c>
      <c r="AX391" s="29">
        <f>F391*AP391</f>
        <v>0</v>
      </c>
      <c r="AY391" s="31" t="s">
        <v>652</v>
      </c>
      <c r="AZ391" s="31" t="s">
        <v>438</v>
      </c>
      <c r="BA391" s="11" t="s">
        <v>439</v>
      </c>
      <c r="BC391" s="29">
        <f>AW391+AX391</f>
        <v>0</v>
      </c>
      <c r="BD391" s="29">
        <f>G391/(100-BE391)*100</f>
        <v>0</v>
      </c>
      <c r="BE391" s="29">
        <v>0</v>
      </c>
      <c r="BF391" s="29">
        <f>391</f>
        <v>391</v>
      </c>
      <c r="BH391" s="29">
        <f>F391*AO391</f>
        <v>0</v>
      </c>
      <c r="BI391" s="29">
        <f>F391*AP391</f>
        <v>0</v>
      </c>
      <c r="BJ391" s="29">
        <f>F391*G391</f>
        <v>0</v>
      </c>
      <c r="BK391" s="29"/>
      <c r="BL391" s="29">
        <v>63</v>
      </c>
      <c r="BW391" s="29">
        <v>21</v>
      </c>
      <c r="BX391" s="5" t="s">
        <v>664</v>
      </c>
    </row>
    <row r="392" spans="1:76" ht="14.4" x14ac:dyDescent="0.3">
      <c r="A392" s="32"/>
      <c r="C392" s="33" t="s">
        <v>665</v>
      </c>
      <c r="D392" s="33" t="s">
        <v>210</v>
      </c>
      <c r="F392" s="34">
        <v>177.01499999999999</v>
      </c>
      <c r="K392" s="35"/>
    </row>
    <row r="393" spans="1:76" ht="14.4" x14ac:dyDescent="0.3">
      <c r="A393" s="32"/>
      <c r="C393" s="33" t="s">
        <v>666</v>
      </c>
      <c r="D393" s="33" t="s">
        <v>213</v>
      </c>
      <c r="F393" s="34">
        <v>183.905</v>
      </c>
      <c r="K393" s="35"/>
    </row>
    <row r="394" spans="1:76" ht="14.4" x14ac:dyDescent="0.3">
      <c r="A394" s="2" t="s">
        <v>667</v>
      </c>
      <c r="B394" s="3" t="s">
        <v>668</v>
      </c>
      <c r="C394" s="87" t="s">
        <v>669</v>
      </c>
      <c r="D394" s="84"/>
      <c r="E394" s="3" t="s">
        <v>59</v>
      </c>
      <c r="F394" s="29">
        <v>72.183999999999997</v>
      </c>
      <c r="G394" s="29">
        <v>0</v>
      </c>
      <c r="H394" s="29">
        <f>F394*AO394</f>
        <v>0</v>
      </c>
      <c r="I394" s="29">
        <f>F394*AP394</f>
        <v>0</v>
      </c>
      <c r="J394" s="29">
        <f>F394*G394</f>
        <v>0</v>
      </c>
      <c r="K394" s="30" t="s">
        <v>60</v>
      </c>
      <c r="Z394" s="29">
        <f>IF(AQ394="5",BJ394,0)</f>
        <v>0</v>
      </c>
      <c r="AB394" s="29">
        <f>IF(AQ394="1",BH394,0)</f>
        <v>0</v>
      </c>
      <c r="AC394" s="29">
        <f>IF(AQ394="1",BI394,0)</f>
        <v>0</v>
      </c>
      <c r="AD394" s="29">
        <f>IF(AQ394="7",BH394,0)</f>
        <v>0</v>
      </c>
      <c r="AE394" s="29">
        <f>IF(AQ394="7",BI394,0)</f>
        <v>0</v>
      </c>
      <c r="AF394" s="29">
        <f>IF(AQ394="2",BH394,0)</f>
        <v>0</v>
      </c>
      <c r="AG394" s="29">
        <f>IF(AQ394="2",BI394,0)</f>
        <v>0</v>
      </c>
      <c r="AH394" s="29">
        <f>IF(AQ394="0",BJ394,0)</f>
        <v>0</v>
      </c>
      <c r="AI394" s="11" t="s">
        <v>433</v>
      </c>
      <c r="AJ394" s="29">
        <f>IF(AN394=0,J394,0)</f>
        <v>0</v>
      </c>
      <c r="AK394" s="29">
        <f>IF(AN394=12,J394,0)</f>
        <v>0</v>
      </c>
      <c r="AL394" s="29">
        <f>IF(AN394=21,J394,0)</f>
        <v>0</v>
      </c>
      <c r="AN394" s="29">
        <v>21</v>
      </c>
      <c r="AO394" s="29">
        <f>G394*0.461567839</f>
        <v>0</v>
      </c>
      <c r="AP394" s="29">
        <f>G394*(1-0.461567839)</f>
        <v>0</v>
      </c>
      <c r="AQ394" s="31" t="s">
        <v>56</v>
      </c>
      <c r="AV394" s="29">
        <f>AW394+AX394</f>
        <v>0</v>
      </c>
      <c r="AW394" s="29">
        <f>F394*AO394</f>
        <v>0</v>
      </c>
      <c r="AX394" s="29">
        <f>F394*AP394</f>
        <v>0</v>
      </c>
      <c r="AY394" s="31" t="s">
        <v>652</v>
      </c>
      <c r="AZ394" s="31" t="s">
        <v>438</v>
      </c>
      <c r="BA394" s="11" t="s">
        <v>439</v>
      </c>
      <c r="BC394" s="29">
        <f>AW394+AX394</f>
        <v>0</v>
      </c>
      <c r="BD394" s="29">
        <f>G394/(100-BE394)*100</f>
        <v>0</v>
      </c>
      <c r="BE394" s="29">
        <v>0</v>
      </c>
      <c r="BF394" s="29">
        <f>394</f>
        <v>394</v>
      </c>
      <c r="BH394" s="29">
        <f>F394*AO394</f>
        <v>0</v>
      </c>
      <c r="BI394" s="29">
        <f>F394*AP394</f>
        <v>0</v>
      </c>
      <c r="BJ394" s="29">
        <f>F394*G394</f>
        <v>0</v>
      </c>
      <c r="BK394" s="29"/>
      <c r="BL394" s="29">
        <v>63</v>
      </c>
      <c r="BW394" s="29">
        <v>21</v>
      </c>
      <c r="BX394" s="5" t="s">
        <v>669</v>
      </c>
    </row>
    <row r="395" spans="1:76" ht="14.4" x14ac:dyDescent="0.3">
      <c r="A395" s="32"/>
      <c r="C395" s="33" t="s">
        <v>670</v>
      </c>
      <c r="D395" s="33" t="s">
        <v>671</v>
      </c>
      <c r="F395" s="34">
        <v>35.402999999999999</v>
      </c>
      <c r="K395" s="35"/>
    </row>
    <row r="396" spans="1:76" ht="14.4" x14ac:dyDescent="0.3">
      <c r="A396" s="32"/>
      <c r="C396" s="33" t="s">
        <v>672</v>
      </c>
      <c r="D396" s="33" t="s">
        <v>673</v>
      </c>
      <c r="F396" s="34">
        <v>36.780999999999999</v>
      </c>
      <c r="K396" s="35"/>
    </row>
    <row r="397" spans="1:76" ht="14.4" x14ac:dyDescent="0.3">
      <c r="A397" s="2" t="s">
        <v>674</v>
      </c>
      <c r="B397" s="3" t="s">
        <v>675</v>
      </c>
      <c r="C397" s="87" t="s">
        <v>676</v>
      </c>
      <c r="D397" s="84"/>
      <c r="E397" s="3" t="s">
        <v>129</v>
      </c>
      <c r="F397" s="29">
        <v>25.116700000000002</v>
      </c>
      <c r="G397" s="29">
        <v>0</v>
      </c>
      <c r="H397" s="29">
        <f>F397*AO397</f>
        <v>0</v>
      </c>
      <c r="I397" s="29">
        <f>F397*AP397</f>
        <v>0</v>
      </c>
      <c r="J397" s="29">
        <f>F397*G397</f>
        <v>0</v>
      </c>
      <c r="K397" s="30" t="s">
        <v>60</v>
      </c>
      <c r="Z397" s="29">
        <f>IF(AQ397="5",BJ397,0)</f>
        <v>0</v>
      </c>
      <c r="AB397" s="29">
        <f>IF(AQ397="1",BH397,0)</f>
        <v>0</v>
      </c>
      <c r="AC397" s="29">
        <f>IF(AQ397="1",BI397,0)</f>
        <v>0</v>
      </c>
      <c r="AD397" s="29">
        <f>IF(AQ397="7",BH397,0)</f>
        <v>0</v>
      </c>
      <c r="AE397" s="29">
        <f>IF(AQ397="7",BI397,0)</f>
        <v>0</v>
      </c>
      <c r="AF397" s="29">
        <f>IF(AQ397="2",BH397,0)</f>
        <v>0</v>
      </c>
      <c r="AG397" s="29">
        <f>IF(AQ397="2",BI397,0)</f>
        <v>0</v>
      </c>
      <c r="AH397" s="29">
        <f>IF(AQ397="0",BJ397,0)</f>
        <v>0</v>
      </c>
      <c r="AI397" s="11" t="s">
        <v>433</v>
      </c>
      <c r="AJ397" s="29">
        <f>IF(AN397=0,J397,0)</f>
        <v>0</v>
      </c>
      <c r="AK397" s="29">
        <f>IF(AN397=12,J397,0)</f>
        <v>0</v>
      </c>
      <c r="AL397" s="29">
        <f>IF(AN397=21,J397,0)</f>
        <v>0</v>
      </c>
      <c r="AN397" s="29">
        <v>21</v>
      </c>
      <c r="AO397" s="29">
        <f>G397*0.816359906</f>
        <v>0</v>
      </c>
      <c r="AP397" s="29">
        <f>G397*(1-0.816359906)</f>
        <v>0</v>
      </c>
      <c r="AQ397" s="31" t="s">
        <v>56</v>
      </c>
      <c r="AV397" s="29">
        <f>AW397+AX397</f>
        <v>0</v>
      </c>
      <c r="AW397" s="29">
        <f>F397*AO397</f>
        <v>0</v>
      </c>
      <c r="AX397" s="29">
        <f>F397*AP397</f>
        <v>0</v>
      </c>
      <c r="AY397" s="31" t="s">
        <v>652</v>
      </c>
      <c r="AZ397" s="31" t="s">
        <v>438</v>
      </c>
      <c r="BA397" s="11" t="s">
        <v>439</v>
      </c>
      <c r="BC397" s="29">
        <f>AW397+AX397</f>
        <v>0</v>
      </c>
      <c r="BD397" s="29">
        <f>G397/(100-BE397)*100</f>
        <v>0</v>
      </c>
      <c r="BE397" s="29">
        <v>0</v>
      </c>
      <c r="BF397" s="29">
        <f>397</f>
        <v>397</v>
      </c>
      <c r="BH397" s="29">
        <f>F397*AO397</f>
        <v>0</v>
      </c>
      <c r="BI397" s="29">
        <f>F397*AP397</f>
        <v>0</v>
      </c>
      <c r="BJ397" s="29">
        <f>F397*G397</f>
        <v>0</v>
      </c>
      <c r="BK397" s="29"/>
      <c r="BL397" s="29">
        <v>63</v>
      </c>
      <c r="BW397" s="29">
        <v>21</v>
      </c>
      <c r="BX397" s="5" t="s">
        <v>676</v>
      </c>
    </row>
    <row r="398" spans="1:76" ht="14.4" x14ac:dyDescent="0.3">
      <c r="A398" s="32"/>
      <c r="C398" s="33" t="s">
        <v>677</v>
      </c>
      <c r="D398" s="33" t="s">
        <v>678</v>
      </c>
      <c r="F398" s="34">
        <v>25.116700000000002</v>
      </c>
      <c r="K398" s="35"/>
    </row>
    <row r="399" spans="1:76" ht="14.4" x14ac:dyDescent="0.3">
      <c r="A399" s="32"/>
      <c r="C399" s="33" t="s">
        <v>51</v>
      </c>
      <c r="D399" s="33" t="s">
        <v>679</v>
      </c>
      <c r="F399" s="34">
        <v>0</v>
      </c>
      <c r="K399" s="35"/>
    </row>
    <row r="400" spans="1:76" ht="14.4" x14ac:dyDescent="0.3">
      <c r="A400" s="2" t="s">
        <v>680</v>
      </c>
      <c r="B400" s="3" t="s">
        <v>681</v>
      </c>
      <c r="C400" s="87" t="s">
        <v>682</v>
      </c>
      <c r="D400" s="84"/>
      <c r="E400" s="3" t="s">
        <v>59</v>
      </c>
      <c r="F400" s="29">
        <v>179.405</v>
      </c>
      <c r="G400" s="29">
        <v>0</v>
      </c>
      <c r="H400" s="29">
        <f>F400*AO400</f>
        <v>0</v>
      </c>
      <c r="I400" s="29">
        <f>F400*AP400</f>
        <v>0</v>
      </c>
      <c r="J400" s="29">
        <f>F400*G400</f>
        <v>0</v>
      </c>
      <c r="K400" s="30" t="s">
        <v>60</v>
      </c>
      <c r="Z400" s="29">
        <f>IF(AQ400="5",BJ400,0)</f>
        <v>0</v>
      </c>
      <c r="AB400" s="29">
        <f>IF(AQ400="1",BH400,0)</f>
        <v>0</v>
      </c>
      <c r="AC400" s="29">
        <f>IF(AQ400="1",BI400,0)</f>
        <v>0</v>
      </c>
      <c r="AD400" s="29">
        <f>IF(AQ400="7",BH400,0)</f>
        <v>0</v>
      </c>
      <c r="AE400" s="29">
        <f>IF(AQ400="7",BI400,0)</f>
        <v>0</v>
      </c>
      <c r="AF400" s="29">
        <f>IF(AQ400="2",BH400,0)</f>
        <v>0</v>
      </c>
      <c r="AG400" s="29">
        <f>IF(AQ400="2",BI400,0)</f>
        <v>0</v>
      </c>
      <c r="AH400" s="29">
        <f>IF(AQ400="0",BJ400,0)</f>
        <v>0</v>
      </c>
      <c r="AI400" s="11" t="s">
        <v>433</v>
      </c>
      <c r="AJ400" s="29">
        <f>IF(AN400=0,J400,0)</f>
        <v>0</v>
      </c>
      <c r="AK400" s="29">
        <f>IF(AN400=12,J400,0)</f>
        <v>0</v>
      </c>
      <c r="AL400" s="29">
        <f>IF(AN400=21,J400,0)</f>
        <v>0</v>
      </c>
      <c r="AN400" s="29">
        <v>21</v>
      </c>
      <c r="AO400" s="29">
        <f>G400*0.406885741</f>
        <v>0</v>
      </c>
      <c r="AP400" s="29">
        <f>G400*(1-0.406885741)</f>
        <v>0</v>
      </c>
      <c r="AQ400" s="31" t="s">
        <v>56</v>
      </c>
      <c r="AV400" s="29">
        <f>AW400+AX400</f>
        <v>0</v>
      </c>
      <c r="AW400" s="29">
        <f>F400*AO400</f>
        <v>0</v>
      </c>
      <c r="AX400" s="29">
        <f>F400*AP400</f>
        <v>0</v>
      </c>
      <c r="AY400" s="31" t="s">
        <v>652</v>
      </c>
      <c r="AZ400" s="31" t="s">
        <v>438</v>
      </c>
      <c r="BA400" s="11" t="s">
        <v>439</v>
      </c>
      <c r="BC400" s="29">
        <f>AW400+AX400</f>
        <v>0</v>
      </c>
      <c r="BD400" s="29">
        <f>G400/(100-BE400)*100</f>
        <v>0</v>
      </c>
      <c r="BE400" s="29">
        <v>0</v>
      </c>
      <c r="BF400" s="29">
        <f>400</f>
        <v>400</v>
      </c>
      <c r="BH400" s="29">
        <f>F400*AO400</f>
        <v>0</v>
      </c>
      <c r="BI400" s="29">
        <f>F400*AP400</f>
        <v>0</v>
      </c>
      <c r="BJ400" s="29">
        <f>F400*G400</f>
        <v>0</v>
      </c>
      <c r="BK400" s="29"/>
      <c r="BL400" s="29">
        <v>63</v>
      </c>
      <c r="BW400" s="29">
        <v>21</v>
      </c>
      <c r="BX400" s="5" t="s">
        <v>682</v>
      </c>
    </row>
    <row r="401" spans="1:76" ht="14.4" x14ac:dyDescent="0.3">
      <c r="A401" s="32"/>
      <c r="C401" s="33" t="s">
        <v>575</v>
      </c>
      <c r="D401" s="33" t="s">
        <v>211</v>
      </c>
      <c r="F401" s="34">
        <v>179.405</v>
      </c>
      <c r="K401" s="35"/>
    </row>
    <row r="402" spans="1:76" ht="14.4" x14ac:dyDescent="0.3">
      <c r="A402" s="25" t="s">
        <v>51</v>
      </c>
      <c r="B402" s="26" t="s">
        <v>683</v>
      </c>
      <c r="C402" s="143" t="s">
        <v>684</v>
      </c>
      <c r="D402" s="144"/>
      <c r="E402" s="27" t="s">
        <v>4</v>
      </c>
      <c r="F402" s="27" t="s">
        <v>4</v>
      </c>
      <c r="G402" s="27" t="s">
        <v>4</v>
      </c>
      <c r="H402" s="1">
        <f>SUM(H403:H403)</f>
        <v>0</v>
      </c>
      <c r="I402" s="1">
        <f>SUM(I403:I403)</f>
        <v>0</v>
      </c>
      <c r="J402" s="1">
        <f>SUM(J403:J403)</f>
        <v>0</v>
      </c>
      <c r="K402" s="28" t="s">
        <v>51</v>
      </c>
      <c r="AI402" s="11" t="s">
        <v>433</v>
      </c>
      <c r="AS402" s="1">
        <f>SUM(AJ403:AJ403)</f>
        <v>0</v>
      </c>
      <c r="AT402" s="1">
        <f>SUM(AK403:AK403)</f>
        <v>0</v>
      </c>
      <c r="AU402" s="1">
        <f>SUM(AL403:AL403)</f>
        <v>0</v>
      </c>
    </row>
    <row r="403" spans="1:76" ht="14.4" x14ac:dyDescent="0.3">
      <c r="A403" s="2" t="s">
        <v>685</v>
      </c>
      <c r="B403" s="3" t="s">
        <v>686</v>
      </c>
      <c r="C403" s="87" t="s">
        <v>687</v>
      </c>
      <c r="D403" s="84"/>
      <c r="E403" s="3" t="s">
        <v>269</v>
      </c>
      <c r="F403" s="29">
        <v>400.07486999999998</v>
      </c>
      <c r="G403" s="29">
        <v>0</v>
      </c>
      <c r="H403" s="29">
        <f>F403*AO403</f>
        <v>0</v>
      </c>
      <c r="I403" s="29">
        <f>F403*AP403</f>
        <v>0</v>
      </c>
      <c r="J403" s="29">
        <f>F403*G403</f>
        <v>0</v>
      </c>
      <c r="K403" s="30" t="s">
        <v>60</v>
      </c>
      <c r="Z403" s="29">
        <f>IF(AQ403="5",BJ403,0)</f>
        <v>0</v>
      </c>
      <c r="AB403" s="29">
        <f>IF(AQ403="1",BH403,0)</f>
        <v>0</v>
      </c>
      <c r="AC403" s="29">
        <f>IF(AQ403="1",BI403,0)</f>
        <v>0</v>
      </c>
      <c r="AD403" s="29">
        <f>IF(AQ403="7",BH403,0)</f>
        <v>0</v>
      </c>
      <c r="AE403" s="29">
        <f>IF(AQ403="7",BI403,0)</f>
        <v>0</v>
      </c>
      <c r="AF403" s="29">
        <f>IF(AQ403="2",BH403,0)</f>
        <v>0</v>
      </c>
      <c r="AG403" s="29">
        <f>IF(AQ403="2",BI403,0)</f>
        <v>0</v>
      </c>
      <c r="AH403" s="29">
        <f>IF(AQ403="0",BJ403,0)</f>
        <v>0</v>
      </c>
      <c r="AI403" s="11" t="s">
        <v>433</v>
      </c>
      <c r="AJ403" s="29">
        <f>IF(AN403=0,J403,0)</f>
        <v>0</v>
      </c>
      <c r="AK403" s="29">
        <f>IF(AN403=12,J403,0)</f>
        <v>0</v>
      </c>
      <c r="AL403" s="29">
        <f>IF(AN403=21,J403,0)</f>
        <v>0</v>
      </c>
      <c r="AN403" s="29">
        <v>21</v>
      </c>
      <c r="AO403" s="29">
        <f>G403*0</f>
        <v>0</v>
      </c>
      <c r="AP403" s="29">
        <f>G403*(1-0)</f>
        <v>0</v>
      </c>
      <c r="AQ403" s="31" t="s">
        <v>100</v>
      </c>
      <c r="AV403" s="29">
        <f>AW403+AX403</f>
        <v>0</v>
      </c>
      <c r="AW403" s="29">
        <f>F403*AO403</f>
        <v>0</v>
      </c>
      <c r="AX403" s="29">
        <f>F403*AP403</f>
        <v>0</v>
      </c>
      <c r="AY403" s="31" t="s">
        <v>688</v>
      </c>
      <c r="AZ403" s="31" t="s">
        <v>689</v>
      </c>
      <c r="BA403" s="11" t="s">
        <v>439</v>
      </c>
      <c r="BC403" s="29">
        <f>AW403+AX403</f>
        <v>0</v>
      </c>
      <c r="BD403" s="29">
        <f>G403/(100-BE403)*100</f>
        <v>0</v>
      </c>
      <c r="BE403" s="29">
        <v>0</v>
      </c>
      <c r="BF403" s="29">
        <f>403</f>
        <v>403</v>
      </c>
      <c r="BH403" s="29">
        <f>F403*AO403</f>
        <v>0</v>
      </c>
      <c r="BI403" s="29">
        <f>F403*AP403</f>
        <v>0</v>
      </c>
      <c r="BJ403" s="29">
        <f>F403*G403</f>
        <v>0</v>
      </c>
      <c r="BK403" s="29"/>
      <c r="BL403" s="29"/>
      <c r="BW403" s="29">
        <v>21</v>
      </c>
      <c r="BX403" s="5" t="s">
        <v>687</v>
      </c>
    </row>
    <row r="404" spans="1:76" ht="14.4" x14ac:dyDescent="0.3">
      <c r="A404" s="25" t="s">
        <v>51</v>
      </c>
      <c r="B404" s="26" t="s">
        <v>690</v>
      </c>
      <c r="C404" s="143" t="s">
        <v>691</v>
      </c>
      <c r="D404" s="144"/>
      <c r="E404" s="27" t="s">
        <v>4</v>
      </c>
      <c r="F404" s="27" t="s">
        <v>4</v>
      </c>
      <c r="G404" s="27" t="s">
        <v>4</v>
      </c>
      <c r="H404" s="1">
        <f>SUM(H405:H434)</f>
        <v>0</v>
      </c>
      <c r="I404" s="1">
        <f>SUM(I405:I434)</f>
        <v>0</v>
      </c>
      <c r="J404" s="1">
        <f>SUM(J405:J434)</f>
        <v>0</v>
      </c>
      <c r="K404" s="28" t="s">
        <v>51</v>
      </c>
      <c r="AI404" s="11" t="s">
        <v>433</v>
      </c>
      <c r="AS404" s="1">
        <f>SUM(AJ405:AJ434)</f>
        <v>0</v>
      </c>
      <c r="AT404" s="1">
        <f>SUM(AK405:AK434)</f>
        <v>0</v>
      </c>
      <c r="AU404" s="1">
        <f>SUM(AL405:AL434)</f>
        <v>0</v>
      </c>
    </row>
    <row r="405" spans="1:76" ht="26.4" x14ac:dyDescent="0.3">
      <c r="A405" s="2" t="s">
        <v>692</v>
      </c>
      <c r="B405" s="3" t="s">
        <v>693</v>
      </c>
      <c r="C405" s="87" t="s">
        <v>694</v>
      </c>
      <c r="D405" s="84"/>
      <c r="E405" s="3" t="s">
        <v>59</v>
      </c>
      <c r="F405" s="29">
        <v>372.47</v>
      </c>
      <c r="G405" s="29">
        <v>0</v>
      </c>
      <c r="H405" s="29">
        <f>F405*AO405</f>
        <v>0</v>
      </c>
      <c r="I405" s="29">
        <f>F405*AP405</f>
        <v>0</v>
      </c>
      <c r="J405" s="29">
        <f>F405*G405</f>
        <v>0</v>
      </c>
      <c r="K405" s="30" t="s">
        <v>60</v>
      </c>
      <c r="Z405" s="29">
        <f>IF(AQ405="5",BJ405,0)</f>
        <v>0</v>
      </c>
      <c r="AB405" s="29">
        <f>IF(AQ405="1",BH405,0)</f>
        <v>0</v>
      </c>
      <c r="AC405" s="29">
        <f>IF(AQ405="1",BI405,0)</f>
        <v>0</v>
      </c>
      <c r="AD405" s="29">
        <f>IF(AQ405="7",BH405,0)</f>
        <v>0</v>
      </c>
      <c r="AE405" s="29">
        <f>IF(AQ405="7",BI405,0)</f>
        <v>0</v>
      </c>
      <c r="AF405" s="29">
        <f>IF(AQ405="2",BH405,0)</f>
        <v>0</v>
      </c>
      <c r="AG405" s="29">
        <f>IF(AQ405="2",BI405,0)</f>
        <v>0</v>
      </c>
      <c r="AH405" s="29">
        <f>IF(AQ405="0",BJ405,0)</f>
        <v>0</v>
      </c>
      <c r="AI405" s="11" t="s">
        <v>433</v>
      </c>
      <c r="AJ405" s="29">
        <f>IF(AN405=0,J405,0)</f>
        <v>0</v>
      </c>
      <c r="AK405" s="29">
        <f>IF(AN405=12,J405,0)</f>
        <v>0</v>
      </c>
      <c r="AL405" s="29">
        <f>IF(AN405=21,J405,0)</f>
        <v>0</v>
      </c>
      <c r="AN405" s="29">
        <v>21</v>
      </c>
      <c r="AO405" s="29">
        <f>G405*0.659027933</f>
        <v>0</v>
      </c>
      <c r="AP405" s="29">
        <f>G405*(1-0.659027933)</f>
        <v>0</v>
      </c>
      <c r="AQ405" s="31" t="s">
        <v>117</v>
      </c>
      <c r="AV405" s="29">
        <f>AW405+AX405</f>
        <v>0</v>
      </c>
      <c r="AW405" s="29">
        <f>F405*AO405</f>
        <v>0</v>
      </c>
      <c r="AX405" s="29">
        <f>F405*AP405</f>
        <v>0</v>
      </c>
      <c r="AY405" s="31" t="s">
        <v>695</v>
      </c>
      <c r="AZ405" s="31" t="s">
        <v>696</v>
      </c>
      <c r="BA405" s="11" t="s">
        <v>439</v>
      </c>
      <c r="BC405" s="29">
        <f>AW405+AX405</f>
        <v>0</v>
      </c>
      <c r="BD405" s="29">
        <f>G405/(100-BE405)*100</f>
        <v>0</v>
      </c>
      <c r="BE405" s="29">
        <v>0</v>
      </c>
      <c r="BF405" s="29">
        <f>405</f>
        <v>405</v>
      </c>
      <c r="BH405" s="29">
        <f>F405*AO405</f>
        <v>0</v>
      </c>
      <c r="BI405" s="29">
        <f>F405*AP405</f>
        <v>0</v>
      </c>
      <c r="BJ405" s="29">
        <f>F405*G405</f>
        <v>0</v>
      </c>
      <c r="BK405" s="29"/>
      <c r="BL405" s="29">
        <v>711</v>
      </c>
      <c r="BW405" s="29">
        <v>21</v>
      </c>
      <c r="BX405" s="5" t="s">
        <v>694</v>
      </c>
    </row>
    <row r="406" spans="1:76" ht="14.4" x14ac:dyDescent="0.3">
      <c r="A406" s="32"/>
      <c r="C406" s="33" t="s">
        <v>209</v>
      </c>
      <c r="D406" s="33" t="s">
        <v>210</v>
      </c>
      <c r="F406" s="34">
        <v>182.68</v>
      </c>
      <c r="K406" s="35"/>
    </row>
    <row r="407" spans="1:76" ht="14.4" x14ac:dyDescent="0.3">
      <c r="A407" s="32"/>
      <c r="C407" s="33" t="s">
        <v>212</v>
      </c>
      <c r="D407" s="33" t="s">
        <v>213</v>
      </c>
      <c r="F407" s="34">
        <v>189.79</v>
      </c>
      <c r="K407" s="35"/>
    </row>
    <row r="408" spans="1:76" ht="26.4" x14ac:dyDescent="0.3">
      <c r="A408" s="2" t="s">
        <v>697</v>
      </c>
      <c r="B408" s="3" t="s">
        <v>693</v>
      </c>
      <c r="C408" s="87" t="s">
        <v>698</v>
      </c>
      <c r="D408" s="84"/>
      <c r="E408" s="3" t="s">
        <v>59</v>
      </c>
      <c r="F408" s="29">
        <v>31.5</v>
      </c>
      <c r="G408" s="29">
        <v>0</v>
      </c>
      <c r="H408" s="29">
        <f>F408*AO408</f>
        <v>0</v>
      </c>
      <c r="I408" s="29">
        <f>F408*AP408</f>
        <v>0</v>
      </c>
      <c r="J408" s="29">
        <f>F408*G408</f>
        <v>0</v>
      </c>
      <c r="K408" s="30" t="s">
        <v>60</v>
      </c>
      <c r="Z408" s="29">
        <f>IF(AQ408="5",BJ408,0)</f>
        <v>0</v>
      </c>
      <c r="AB408" s="29">
        <f>IF(AQ408="1",BH408,0)</f>
        <v>0</v>
      </c>
      <c r="AC408" s="29">
        <f>IF(AQ408="1",BI408,0)</f>
        <v>0</v>
      </c>
      <c r="AD408" s="29">
        <f>IF(AQ408="7",BH408,0)</f>
        <v>0</v>
      </c>
      <c r="AE408" s="29">
        <f>IF(AQ408="7",BI408,0)</f>
        <v>0</v>
      </c>
      <c r="AF408" s="29">
        <f>IF(AQ408="2",BH408,0)</f>
        <v>0</v>
      </c>
      <c r="AG408" s="29">
        <f>IF(AQ408="2",BI408,0)</f>
        <v>0</v>
      </c>
      <c r="AH408" s="29">
        <f>IF(AQ408="0",BJ408,0)</f>
        <v>0</v>
      </c>
      <c r="AI408" s="11" t="s">
        <v>433</v>
      </c>
      <c r="AJ408" s="29">
        <f>IF(AN408=0,J408,0)</f>
        <v>0</v>
      </c>
      <c r="AK408" s="29">
        <f>IF(AN408=12,J408,0)</f>
        <v>0</v>
      </c>
      <c r="AL408" s="29">
        <f>IF(AN408=21,J408,0)</f>
        <v>0</v>
      </c>
      <c r="AN408" s="29">
        <v>21</v>
      </c>
      <c r="AO408" s="29">
        <f>G408*0.659027933</f>
        <v>0</v>
      </c>
      <c r="AP408" s="29">
        <f>G408*(1-0.659027933)</f>
        <v>0</v>
      </c>
      <c r="AQ408" s="31" t="s">
        <v>117</v>
      </c>
      <c r="AV408" s="29">
        <f>AW408+AX408</f>
        <v>0</v>
      </c>
      <c r="AW408" s="29">
        <f>F408*AO408</f>
        <v>0</v>
      </c>
      <c r="AX408" s="29">
        <f>F408*AP408</f>
        <v>0</v>
      </c>
      <c r="AY408" s="31" t="s">
        <v>695</v>
      </c>
      <c r="AZ408" s="31" t="s">
        <v>696</v>
      </c>
      <c r="BA408" s="11" t="s">
        <v>439</v>
      </c>
      <c r="BC408" s="29">
        <f>AW408+AX408</f>
        <v>0</v>
      </c>
      <c r="BD408" s="29">
        <f>G408/(100-BE408)*100</f>
        <v>0</v>
      </c>
      <c r="BE408" s="29">
        <v>0</v>
      </c>
      <c r="BF408" s="29">
        <f>408</f>
        <v>408</v>
      </c>
      <c r="BH408" s="29">
        <f>F408*AO408</f>
        <v>0</v>
      </c>
      <c r="BI408" s="29">
        <f>F408*AP408</f>
        <v>0</v>
      </c>
      <c r="BJ408" s="29">
        <f>F408*G408</f>
        <v>0</v>
      </c>
      <c r="BK408" s="29"/>
      <c r="BL408" s="29">
        <v>711</v>
      </c>
      <c r="BW408" s="29">
        <v>21</v>
      </c>
      <c r="BX408" s="5" t="s">
        <v>698</v>
      </c>
    </row>
    <row r="409" spans="1:76" ht="14.4" x14ac:dyDescent="0.3">
      <c r="A409" s="32"/>
      <c r="C409" s="33" t="s">
        <v>699</v>
      </c>
      <c r="D409" s="33" t="s">
        <v>337</v>
      </c>
      <c r="F409" s="34">
        <v>31.5</v>
      </c>
      <c r="K409" s="35"/>
    </row>
    <row r="410" spans="1:76" ht="14.4" x14ac:dyDescent="0.3">
      <c r="A410" s="32"/>
      <c r="C410" s="33" t="s">
        <v>51</v>
      </c>
      <c r="D410" s="33" t="s">
        <v>700</v>
      </c>
      <c r="F410" s="34">
        <v>0</v>
      </c>
      <c r="K410" s="35"/>
    </row>
    <row r="411" spans="1:76" ht="14.4" x14ac:dyDescent="0.3">
      <c r="A411" s="2" t="s">
        <v>701</v>
      </c>
      <c r="B411" s="3" t="s">
        <v>702</v>
      </c>
      <c r="C411" s="87" t="s">
        <v>703</v>
      </c>
      <c r="D411" s="84"/>
      <c r="E411" s="3" t="s">
        <v>59</v>
      </c>
      <c r="F411" s="29">
        <v>63.58</v>
      </c>
      <c r="G411" s="29">
        <v>0</v>
      </c>
      <c r="H411" s="29">
        <f>F411*AO411</f>
        <v>0</v>
      </c>
      <c r="I411" s="29">
        <f>F411*AP411</f>
        <v>0</v>
      </c>
      <c r="J411" s="29">
        <f>F411*G411</f>
        <v>0</v>
      </c>
      <c r="K411" s="30" t="s">
        <v>60</v>
      </c>
      <c r="Z411" s="29">
        <f>IF(AQ411="5",BJ411,0)</f>
        <v>0</v>
      </c>
      <c r="AB411" s="29">
        <f>IF(AQ411="1",BH411,0)</f>
        <v>0</v>
      </c>
      <c r="AC411" s="29">
        <f>IF(AQ411="1",BI411,0)</f>
        <v>0</v>
      </c>
      <c r="AD411" s="29">
        <f>IF(AQ411="7",BH411,0)</f>
        <v>0</v>
      </c>
      <c r="AE411" s="29">
        <f>IF(AQ411="7",BI411,0)</f>
        <v>0</v>
      </c>
      <c r="AF411" s="29">
        <f>IF(AQ411="2",BH411,0)</f>
        <v>0</v>
      </c>
      <c r="AG411" s="29">
        <f>IF(AQ411="2",BI411,0)</f>
        <v>0</v>
      </c>
      <c r="AH411" s="29">
        <f>IF(AQ411="0",BJ411,0)</f>
        <v>0</v>
      </c>
      <c r="AI411" s="11" t="s">
        <v>433</v>
      </c>
      <c r="AJ411" s="29">
        <f>IF(AN411=0,J411,0)</f>
        <v>0</v>
      </c>
      <c r="AK411" s="29">
        <f>IF(AN411=12,J411,0)</f>
        <v>0</v>
      </c>
      <c r="AL411" s="29">
        <f>IF(AN411=21,J411,0)</f>
        <v>0</v>
      </c>
      <c r="AN411" s="29">
        <v>21</v>
      </c>
      <c r="AO411" s="29">
        <f>G411*0</f>
        <v>0</v>
      </c>
      <c r="AP411" s="29">
        <f>G411*(1-0)</f>
        <v>0</v>
      </c>
      <c r="AQ411" s="31" t="s">
        <v>117</v>
      </c>
      <c r="AV411" s="29">
        <f>AW411+AX411</f>
        <v>0</v>
      </c>
      <c r="AW411" s="29">
        <f>F411*AO411</f>
        <v>0</v>
      </c>
      <c r="AX411" s="29">
        <f>F411*AP411</f>
        <v>0</v>
      </c>
      <c r="AY411" s="31" t="s">
        <v>695</v>
      </c>
      <c r="AZ411" s="31" t="s">
        <v>696</v>
      </c>
      <c r="BA411" s="11" t="s">
        <v>439</v>
      </c>
      <c r="BC411" s="29">
        <f>AW411+AX411</f>
        <v>0</v>
      </c>
      <c r="BD411" s="29">
        <f>G411/(100-BE411)*100</f>
        <v>0</v>
      </c>
      <c r="BE411" s="29">
        <v>0</v>
      </c>
      <c r="BF411" s="29">
        <f>411</f>
        <v>411</v>
      </c>
      <c r="BH411" s="29">
        <f>F411*AO411</f>
        <v>0</v>
      </c>
      <c r="BI411" s="29">
        <f>F411*AP411</f>
        <v>0</v>
      </c>
      <c r="BJ411" s="29">
        <f>F411*G411</f>
        <v>0</v>
      </c>
      <c r="BK411" s="29"/>
      <c r="BL411" s="29">
        <v>711</v>
      </c>
      <c r="BW411" s="29">
        <v>21</v>
      </c>
      <c r="BX411" s="5" t="s">
        <v>703</v>
      </c>
    </row>
    <row r="412" spans="1:76" ht="14.4" x14ac:dyDescent="0.3">
      <c r="A412" s="32"/>
      <c r="C412" s="33" t="s">
        <v>536</v>
      </c>
      <c r="D412" s="33" t="s">
        <v>537</v>
      </c>
      <c r="F412" s="34">
        <v>18.5</v>
      </c>
      <c r="K412" s="35"/>
    </row>
    <row r="413" spans="1:76" ht="14.4" x14ac:dyDescent="0.3">
      <c r="A413" s="32"/>
      <c r="C413" s="33" t="s">
        <v>538</v>
      </c>
      <c r="D413" s="33" t="s">
        <v>308</v>
      </c>
      <c r="F413" s="34">
        <v>22.54</v>
      </c>
      <c r="K413" s="35"/>
    </row>
    <row r="414" spans="1:76" ht="14.4" x14ac:dyDescent="0.3">
      <c r="A414" s="32"/>
      <c r="C414" s="33" t="s">
        <v>538</v>
      </c>
      <c r="D414" s="33" t="s">
        <v>309</v>
      </c>
      <c r="F414" s="34">
        <v>22.54</v>
      </c>
      <c r="K414" s="35"/>
    </row>
    <row r="415" spans="1:76" ht="14.4" x14ac:dyDescent="0.3">
      <c r="A415" s="2" t="s">
        <v>704</v>
      </c>
      <c r="B415" s="3" t="s">
        <v>705</v>
      </c>
      <c r="C415" s="87" t="s">
        <v>706</v>
      </c>
      <c r="D415" s="84"/>
      <c r="E415" s="3" t="s">
        <v>59</v>
      </c>
      <c r="F415" s="29">
        <v>69.938000000000002</v>
      </c>
      <c r="G415" s="29">
        <v>0</v>
      </c>
      <c r="H415" s="29">
        <f>F415*AO415</f>
        <v>0</v>
      </c>
      <c r="I415" s="29">
        <f>F415*AP415</f>
        <v>0</v>
      </c>
      <c r="J415" s="29">
        <f>F415*G415</f>
        <v>0</v>
      </c>
      <c r="K415" s="30" t="s">
        <v>250</v>
      </c>
      <c r="Z415" s="29">
        <f>IF(AQ415="5",BJ415,0)</f>
        <v>0</v>
      </c>
      <c r="AB415" s="29">
        <f>IF(AQ415="1",BH415,0)</f>
        <v>0</v>
      </c>
      <c r="AC415" s="29">
        <f>IF(AQ415="1",BI415,0)</f>
        <v>0</v>
      </c>
      <c r="AD415" s="29">
        <f>IF(AQ415="7",BH415,0)</f>
        <v>0</v>
      </c>
      <c r="AE415" s="29">
        <f>IF(AQ415="7",BI415,0)</f>
        <v>0</v>
      </c>
      <c r="AF415" s="29">
        <f>IF(AQ415="2",BH415,0)</f>
        <v>0</v>
      </c>
      <c r="AG415" s="29">
        <f>IF(AQ415="2",BI415,0)</f>
        <v>0</v>
      </c>
      <c r="AH415" s="29">
        <f>IF(AQ415="0",BJ415,0)</f>
        <v>0</v>
      </c>
      <c r="AI415" s="11" t="s">
        <v>433</v>
      </c>
      <c r="AJ415" s="29">
        <f>IF(AN415=0,J415,0)</f>
        <v>0</v>
      </c>
      <c r="AK415" s="29">
        <f>IF(AN415=12,J415,0)</f>
        <v>0</v>
      </c>
      <c r="AL415" s="29">
        <f>IF(AN415=21,J415,0)</f>
        <v>0</v>
      </c>
      <c r="AN415" s="29">
        <v>21</v>
      </c>
      <c r="AO415" s="29">
        <f>G415*1</f>
        <v>0</v>
      </c>
      <c r="AP415" s="29">
        <f>G415*(1-1)</f>
        <v>0</v>
      </c>
      <c r="AQ415" s="31" t="s">
        <v>117</v>
      </c>
      <c r="AV415" s="29">
        <f>AW415+AX415</f>
        <v>0</v>
      </c>
      <c r="AW415" s="29">
        <f>F415*AO415</f>
        <v>0</v>
      </c>
      <c r="AX415" s="29">
        <f>F415*AP415</f>
        <v>0</v>
      </c>
      <c r="AY415" s="31" t="s">
        <v>695</v>
      </c>
      <c r="AZ415" s="31" t="s">
        <v>696</v>
      </c>
      <c r="BA415" s="11" t="s">
        <v>439</v>
      </c>
      <c r="BC415" s="29">
        <f>AW415+AX415</f>
        <v>0</v>
      </c>
      <c r="BD415" s="29">
        <f>G415/(100-BE415)*100</f>
        <v>0</v>
      </c>
      <c r="BE415" s="29">
        <v>0</v>
      </c>
      <c r="BF415" s="29">
        <f>415</f>
        <v>415</v>
      </c>
      <c r="BH415" s="29">
        <f>F415*AO415</f>
        <v>0</v>
      </c>
      <c r="BI415" s="29">
        <f>F415*AP415</f>
        <v>0</v>
      </c>
      <c r="BJ415" s="29">
        <f>F415*G415</f>
        <v>0</v>
      </c>
      <c r="BK415" s="29"/>
      <c r="BL415" s="29">
        <v>711</v>
      </c>
      <c r="BW415" s="29">
        <v>21</v>
      </c>
      <c r="BX415" s="5" t="s">
        <v>706</v>
      </c>
    </row>
    <row r="416" spans="1:76" ht="14.4" x14ac:dyDescent="0.3">
      <c r="A416" s="32"/>
      <c r="C416" s="33" t="s">
        <v>707</v>
      </c>
      <c r="D416" s="33" t="s">
        <v>51</v>
      </c>
      <c r="F416" s="34">
        <v>63.58</v>
      </c>
      <c r="K416" s="35"/>
    </row>
    <row r="417" spans="1:76" ht="14.4" x14ac:dyDescent="0.3">
      <c r="A417" s="32"/>
      <c r="C417" s="33" t="s">
        <v>708</v>
      </c>
      <c r="D417" s="33" t="s">
        <v>51</v>
      </c>
      <c r="F417" s="34">
        <v>6.3579999999999997</v>
      </c>
      <c r="K417" s="35"/>
    </row>
    <row r="418" spans="1:76" ht="14.4" x14ac:dyDescent="0.3">
      <c r="A418" s="2" t="s">
        <v>709</v>
      </c>
      <c r="B418" s="3" t="s">
        <v>710</v>
      </c>
      <c r="C418" s="87" t="s">
        <v>711</v>
      </c>
      <c r="D418" s="84"/>
      <c r="E418" s="3" t="s">
        <v>73</v>
      </c>
      <c r="F418" s="29">
        <v>18.5</v>
      </c>
      <c r="G418" s="29">
        <v>0</v>
      </c>
      <c r="H418" s="29">
        <f>F418*AO418</f>
        <v>0</v>
      </c>
      <c r="I418" s="29">
        <f>F418*AP418</f>
        <v>0</v>
      </c>
      <c r="J418" s="29">
        <f>F418*G418</f>
        <v>0</v>
      </c>
      <c r="K418" s="30" t="s">
        <v>60</v>
      </c>
      <c r="Z418" s="29">
        <f>IF(AQ418="5",BJ418,0)</f>
        <v>0</v>
      </c>
      <c r="AB418" s="29">
        <f>IF(AQ418="1",BH418,0)</f>
        <v>0</v>
      </c>
      <c r="AC418" s="29">
        <f>IF(AQ418="1",BI418,0)</f>
        <v>0</v>
      </c>
      <c r="AD418" s="29">
        <f>IF(AQ418="7",BH418,0)</f>
        <v>0</v>
      </c>
      <c r="AE418" s="29">
        <f>IF(AQ418="7",BI418,0)</f>
        <v>0</v>
      </c>
      <c r="AF418" s="29">
        <f>IF(AQ418="2",BH418,0)</f>
        <v>0</v>
      </c>
      <c r="AG418" s="29">
        <f>IF(AQ418="2",BI418,0)</f>
        <v>0</v>
      </c>
      <c r="AH418" s="29">
        <f>IF(AQ418="0",BJ418,0)</f>
        <v>0</v>
      </c>
      <c r="AI418" s="11" t="s">
        <v>433</v>
      </c>
      <c r="AJ418" s="29">
        <f>IF(AN418=0,J418,0)</f>
        <v>0</v>
      </c>
      <c r="AK418" s="29">
        <f>IF(AN418=12,J418,0)</f>
        <v>0</v>
      </c>
      <c r="AL418" s="29">
        <f>IF(AN418=21,J418,0)</f>
        <v>0</v>
      </c>
      <c r="AN418" s="29">
        <v>21</v>
      </c>
      <c r="AO418" s="29">
        <f>G418*0.44952381</f>
        <v>0</v>
      </c>
      <c r="AP418" s="29">
        <f>G418*(1-0.44952381)</f>
        <v>0</v>
      </c>
      <c r="AQ418" s="31" t="s">
        <v>117</v>
      </c>
      <c r="AV418" s="29">
        <f>AW418+AX418</f>
        <v>0</v>
      </c>
      <c r="AW418" s="29">
        <f>F418*AO418</f>
        <v>0</v>
      </c>
      <c r="AX418" s="29">
        <f>F418*AP418</f>
        <v>0</v>
      </c>
      <c r="AY418" s="31" t="s">
        <v>695</v>
      </c>
      <c r="AZ418" s="31" t="s">
        <v>696</v>
      </c>
      <c r="BA418" s="11" t="s">
        <v>439</v>
      </c>
      <c r="BC418" s="29">
        <f>AW418+AX418</f>
        <v>0</v>
      </c>
      <c r="BD418" s="29">
        <f>G418/(100-BE418)*100</f>
        <v>0</v>
      </c>
      <c r="BE418" s="29">
        <v>0</v>
      </c>
      <c r="BF418" s="29">
        <f>418</f>
        <v>418</v>
      </c>
      <c r="BH418" s="29">
        <f>F418*AO418</f>
        <v>0</v>
      </c>
      <c r="BI418" s="29">
        <f>F418*AP418</f>
        <v>0</v>
      </c>
      <c r="BJ418" s="29">
        <f>F418*G418</f>
        <v>0</v>
      </c>
      <c r="BK418" s="29"/>
      <c r="BL418" s="29">
        <v>711</v>
      </c>
      <c r="BW418" s="29">
        <v>21</v>
      </c>
      <c r="BX418" s="5" t="s">
        <v>711</v>
      </c>
    </row>
    <row r="419" spans="1:76" ht="14.4" x14ac:dyDescent="0.3">
      <c r="A419" s="2" t="s">
        <v>712</v>
      </c>
      <c r="B419" s="3" t="s">
        <v>713</v>
      </c>
      <c r="C419" s="87" t="s">
        <v>714</v>
      </c>
      <c r="D419" s="84"/>
      <c r="E419" s="3" t="s">
        <v>103</v>
      </c>
      <c r="F419" s="29">
        <v>10</v>
      </c>
      <c r="G419" s="29">
        <v>0</v>
      </c>
      <c r="H419" s="29">
        <f>F419*AO419</f>
        <v>0</v>
      </c>
      <c r="I419" s="29">
        <f>F419*AP419</f>
        <v>0</v>
      </c>
      <c r="J419" s="29">
        <f>F419*G419</f>
        <v>0</v>
      </c>
      <c r="K419" s="30" t="s">
        <v>250</v>
      </c>
      <c r="Z419" s="29">
        <f>IF(AQ419="5",BJ419,0)</f>
        <v>0</v>
      </c>
      <c r="AB419" s="29">
        <f>IF(AQ419="1",BH419,0)</f>
        <v>0</v>
      </c>
      <c r="AC419" s="29">
        <f>IF(AQ419="1",BI419,0)</f>
        <v>0</v>
      </c>
      <c r="AD419" s="29">
        <f>IF(AQ419="7",BH419,0)</f>
        <v>0</v>
      </c>
      <c r="AE419" s="29">
        <f>IF(AQ419="7",BI419,0)</f>
        <v>0</v>
      </c>
      <c r="AF419" s="29">
        <f>IF(AQ419="2",BH419,0)</f>
        <v>0</v>
      </c>
      <c r="AG419" s="29">
        <f>IF(AQ419="2",BI419,0)</f>
        <v>0</v>
      </c>
      <c r="AH419" s="29">
        <f>IF(AQ419="0",BJ419,0)</f>
        <v>0</v>
      </c>
      <c r="AI419" s="11" t="s">
        <v>433</v>
      </c>
      <c r="AJ419" s="29">
        <f>IF(AN419=0,J419,0)</f>
        <v>0</v>
      </c>
      <c r="AK419" s="29">
        <f>IF(AN419=12,J419,0)</f>
        <v>0</v>
      </c>
      <c r="AL419" s="29">
        <f>IF(AN419=21,J419,0)</f>
        <v>0</v>
      </c>
      <c r="AN419" s="29">
        <v>21</v>
      </c>
      <c r="AO419" s="29">
        <f>G419*1</f>
        <v>0</v>
      </c>
      <c r="AP419" s="29">
        <f>G419*(1-1)</f>
        <v>0</v>
      </c>
      <c r="AQ419" s="31" t="s">
        <v>117</v>
      </c>
      <c r="AV419" s="29">
        <f>AW419+AX419</f>
        <v>0</v>
      </c>
      <c r="AW419" s="29">
        <f>F419*AO419</f>
        <v>0</v>
      </c>
      <c r="AX419" s="29">
        <f>F419*AP419</f>
        <v>0</v>
      </c>
      <c r="AY419" s="31" t="s">
        <v>695</v>
      </c>
      <c r="AZ419" s="31" t="s">
        <v>696</v>
      </c>
      <c r="BA419" s="11" t="s">
        <v>439</v>
      </c>
      <c r="BC419" s="29">
        <f>AW419+AX419</f>
        <v>0</v>
      </c>
      <c r="BD419" s="29">
        <f>G419/(100-BE419)*100</f>
        <v>0</v>
      </c>
      <c r="BE419" s="29">
        <v>0</v>
      </c>
      <c r="BF419" s="29">
        <f>419</f>
        <v>419</v>
      </c>
      <c r="BH419" s="29">
        <f>F419*AO419</f>
        <v>0</v>
      </c>
      <c r="BI419" s="29">
        <f>F419*AP419</f>
        <v>0</v>
      </c>
      <c r="BJ419" s="29">
        <f>F419*G419</f>
        <v>0</v>
      </c>
      <c r="BK419" s="29"/>
      <c r="BL419" s="29">
        <v>711</v>
      </c>
      <c r="BW419" s="29">
        <v>21</v>
      </c>
      <c r="BX419" s="5" t="s">
        <v>714</v>
      </c>
    </row>
    <row r="420" spans="1:76" ht="14.4" x14ac:dyDescent="0.3">
      <c r="A420" s="32"/>
      <c r="C420" s="33" t="s">
        <v>715</v>
      </c>
      <c r="D420" s="33" t="s">
        <v>51</v>
      </c>
      <c r="F420" s="34">
        <v>10</v>
      </c>
      <c r="K420" s="35"/>
    </row>
    <row r="421" spans="1:76" ht="26.4" x14ac:dyDescent="0.3">
      <c r="A421" s="2" t="s">
        <v>716</v>
      </c>
      <c r="B421" s="3" t="s">
        <v>717</v>
      </c>
      <c r="C421" s="87" t="s">
        <v>718</v>
      </c>
      <c r="D421" s="84"/>
      <c r="E421" s="3" t="s">
        <v>59</v>
      </c>
      <c r="F421" s="29">
        <v>179.405</v>
      </c>
      <c r="G421" s="29">
        <v>0</v>
      </c>
      <c r="H421" s="29">
        <f>F421*AO421</f>
        <v>0</v>
      </c>
      <c r="I421" s="29">
        <f>F421*AP421</f>
        <v>0</v>
      </c>
      <c r="J421" s="29">
        <f>F421*G421</f>
        <v>0</v>
      </c>
      <c r="K421" s="30" t="s">
        <v>60</v>
      </c>
      <c r="Z421" s="29">
        <f>IF(AQ421="5",BJ421,0)</f>
        <v>0</v>
      </c>
      <c r="AB421" s="29">
        <f>IF(AQ421="1",BH421,0)</f>
        <v>0</v>
      </c>
      <c r="AC421" s="29">
        <f>IF(AQ421="1",BI421,0)</f>
        <v>0</v>
      </c>
      <c r="AD421" s="29">
        <f>IF(AQ421="7",BH421,0)</f>
        <v>0</v>
      </c>
      <c r="AE421" s="29">
        <f>IF(AQ421="7",BI421,0)</f>
        <v>0</v>
      </c>
      <c r="AF421" s="29">
        <f>IF(AQ421="2",BH421,0)</f>
        <v>0</v>
      </c>
      <c r="AG421" s="29">
        <f>IF(AQ421="2",BI421,0)</f>
        <v>0</v>
      </c>
      <c r="AH421" s="29">
        <f>IF(AQ421="0",BJ421,0)</f>
        <v>0</v>
      </c>
      <c r="AI421" s="11" t="s">
        <v>433</v>
      </c>
      <c r="AJ421" s="29">
        <f>IF(AN421=0,J421,0)</f>
        <v>0</v>
      </c>
      <c r="AK421" s="29">
        <f>IF(AN421=12,J421,0)</f>
        <v>0</v>
      </c>
      <c r="AL421" s="29">
        <f>IF(AN421=21,J421,0)</f>
        <v>0</v>
      </c>
      <c r="AN421" s="29">
        <v>21</v>
      </c>
      <c r="AO421" s="29">
        <f>G421*0.51488994</f>
        <v>0</v>
      </c>
      <c r="AP421" s="29">
        <f>G421*(1-0.51488994)</f>
        <v>0</v>
      </c>
      <c r="AQ421" s="31" t="s">
        <v>117</v>
      </c>
      <c r="AV421" s="29">
        <f>AW421+AX421</f>
        <v>0</v>
      </c>
      <c r="AW421" s="29">
        <f>F421*AO421</f>
        <v>0</v>
      </c>
      <c r="AX421" s="29">
        <f>F421*AP421</f>
        <v>0</v>
      </c>
      <c r="AY421" s="31" t="s">
        <v>695</v>
      </c>
      <c r="AZ421" s="31" t="s">
        <v>696</v>
      </c>
      <c r="BA421" s="11" t="s">
        <v>439</v>
      </c>
      <c r="BC421" s="29">
        <f>AW421+AX421</f>
        <v>0</v>
      </c>
      <c r="BD421" s="29">
        <f>G421/(100-BE421)*100</f>
        <v>0</v>
      </c>
      <c r="BE421" s="29">
        <v>0</v>
      </c>
      <c r="BF421" s="29">
        <f>421</f>
        <v>421</v>
      </c>
      <c r="BH421" s="29">
        <f>F421*AO421</f>
        <v>0</v>
      </c>
      <c r="BI421" s="29">
        <f>F421*AP421</f>
        <v>0</v>
      </c>
      <c r="BJ421" s="29">
        <f>F421*G421</f>
        <v>0</v>
      </c>
      <c r="BK421" s="29"/>
      <c r="BL421" s="29">
        <v>711</v>
      </c>
      <c r="BW421" s="29">
        <v>21</v>
      </c>
      <c r="BX421" s="5" t="s">
        <v>718</v>
      </c>
    </row>
    <row r="422" spans="1:76" ht="14.4" x14ac:dyDescent="0.3">
      <c r="A422" s="32"/>
      <c r="C422" s="33" t="s">
        <v>575</v>
      </c>
      <c r="D422" s="33" t="s">
        <v>211</v>
      </c>
      <c r="F422" s="34">
        <v>179.405</v>
      </c>
      <c r="K422" s="35"/>
    </row>
    <row r="423" spans="1:76" ht="14.4" x14ac:dyDescent="0.3">
      <c r="A423" s="2" t="s">
        <v>719</v>
      </c>
      <c r="B423" s="3" t="s">
        <v>720</v>
      </c>
      <c r="C423" s="87" t="s">
        <v>721</v>
      </c>
      <c r="D423" s="84"/>
      <c r="E423" s="3" t="s">
        <v>59</v>
      </c>
      <c r="F423" s="29">
        <v>538.21500000000003</v>
      </c>
      <c r="G423" s="29">
        <v>0</v>
      </c>
      <c r="H423" s="29">
        <f>F423*AO423</f>
        <v>0</v>
      </c>
      <c r="I423" s="29">
        <f>F423*AP423</f>
        <v>0</v>
      </c>
      <c r="J423" s="29">
        <f>F423*G423</f>
        <v>0</v>
      </c>
      <c r="K423" s="30" t="s">
        <v>60</v>
      </c>
      <c r="Z423" s="29">
        <f>IF(AQ423="5",BJ423,0)</f>
        <v>0</v>
      </c>
      <c r="AB423" s="29">
        <f>IF(AQ423="1",BH423,0)</f>
        <v>0</v>
      </c>
      <c r="AC423" s="29">
        <f>IF(AQ423="1",BI423,0)</f>
        <v>0</v>
      </c>
      <c r="AD423" s="29">
        <f>IF(AQ423="7",BH423,0)</f>
        <v>0</v>
      </c>
      <c r="AE423" s="29">
        <f>IF(AQ423="7",BI423,0)</f>
        <v>0</v>
      </c>
      <c r="AF423" s="29">
        <f>IF(AQ423="2",BH423,0)</f>
        <v>0</v>
      </c>
      <c r="AG423" s="29">
        <f>IF(AQ423="2",BI423,0)</f>
        <v>0</v>
      </c>
      <c r="AH423" s="29">
        <f>IF(AQ423="0",BJ423,0)</f>
        <v>0</v>
      </c>
      <c r="AI423" s="11" t="s">
        <v>433</v>
      </c>
      <c r="AJ423" s="29">
        <f>IF(AN423=0,J423,0)</f>
        <v>0</v>
      </c>
      <c r="AK423" s="29">
        <f>IF(AN423=12,J423,0)</f>
        <v>0</v>
      </c>
      <c r="AL423" s="29">
        <f>IF(AN423=21,J423,0)</f>
        <v>0</v>
      </c>
      <c r="AN423" s="29">
        <v>21</v>
      </c>
      <c r="AO423" s="29">
        <f>G423*0</f>
        <v>0</v>
      </c>
      <c r="AP423" s="29">
        <f>G423*(1-0)</f>
        <v>0</v>
      </c>
      <c r="AQ423" s="31" t="s">
        <v>117</v>
      </c>
      <c r="AV423" s="29">
        <f>AW423+AX423</f>
        <v>0</v>
      </c>
      <c r="AW423" s="29">
        <f>F423*AO423</f>
        <v>0</v>
      </c>
      <c r="AX423" s="29">
        <f>F423*AP423</f>
        <v>0</v>
      </c>
      <c r="AY423" s="31" t="s">
        <v>695</v>
      </c>
      <c r="AZ423" s="31" t="s">
        <v>696</v>
      </c>
      <c r="BA423" s="11" t="s">
        <v>439</v>
      </c>
      <c r="BC423" s="29">
        <f>AW423+AX423</f>
        <v>0</v>
      </c>
      <c r="BD423" s="29">
        <f>G423/(100-BE423)*100</f>
        <v>0</v>
      </c>
      <c r="BE423" s="29">
        <v>0</v>
      </c>
      <c r="BF423" s="29">
        <f>423</f>
        <v>423</v>
      </c>
      <c r="BH423" s="29">
        <f>F423*AO423</f>
        <v>0</v>
      </c>
      <c r="BI423" s="29">
        <f>F423*AP423</f>
        <v>0</v>
      </c>
      <c r="BJ423" s="29">
        <f>F423*G423</f>
        <v>0</v>
      </c>
      <c r="BK423" s="29"/>
      <c r="BL423" s="29">
        <v>711</v>
      </c>
      <c r="BW423" s="29">
        <v>21</v>
      </c>
      <c r="BX423" s="5" t="s">
        <v>721</v>
      </c>
    </row>
    <row r="424" spans="1:76" ht="14.4" x14ac:dyDescent="0.3">
      <c r="A424" s="32"/>
      <c r="C424" s="33" t="s">
        <v>722</v>
      </c>
      <c r="D424" s="33" t="s">
        <v>723</v>
      </c>
      <c r="F424" s="34">
        <v>538.21500000000003</v>
      </c>
      <c r="K424" s="35"/>
    </row>
    <row r="425" spans="1:76" ht="14.4" x14ac:dyDescent="0.3">
      <c r="A425" s="2" t="s">
        <v>724</v>
      </c>
      <c r="B425" s="3" t="s">
        <v>546</v>
      </c>
      <c r="C425" s="87" t="s">
        <v>725</v>
      </c>
      <c r="D425" s="84"/>
      <c r="E425" s="3" t="s">
        <v>59</v>
      </c>
      <c r="F425" s="29">
        <v>188.37524999999999</v>
      </c>
      <c r="G425" s="29">
        <v>0</v>
      </c>
      <c r="H425" s="29">
        <f>F425*AO425</f>
        <v>0</v>
      </c>
      <c r="I425" s="29">
        <f>F425*AP425</f>
        <v>0</v>
      </c>
      <c r="J425" s="29">
        <f>F425*G425</f>
        <v>0</v>
      </c>
      <c r="K425" s="30" t="s">
        <v>60</v>
      </c>
      <c r="Z425" s="29">
        <f>IF(AQ425="5",BJ425,0)</f>
        <v>0</v>
      </c>
      <c r="AB425" s="29">
        <f>IF(AQ425="1",BH425,0)</f>
        <v>0</v>
      </c>
      <c r="AC425" s="29">
        <f>IF(AQ425="1",BI425,0)</f>
        <v>0</v>
      </c>
      <c r="AD425" s="29">
        <f>IF(AQ425="7",BH425,0)</f>
        <v>0</v>
      </c>
      <c r="AE425" s="29">
        <f>IF(AQ425="7",BI425,0)</f>
        <v>0</v>
      </c>
      <c r="AF425" s="29">
        <f>IF(AQ425="2",BH425,0)</f>
        <v>0</v>
      </c>
      <c r="AG425" s="29">
        <f>IF(AQ425="2",BI425,0)</f>
        <v>0</v>
      </c>
      <c r="AH425" s="29">
        <f>IF(AQ425="0",BJ425,0)</f>
        <v>0</v>
      </c>
      <c r="AI425" s="11" t="s">
        <v>433</v>
      </c>
      <c r="AJ425" s="29">
        <f>IF(AN425=0,J425,0)</f>
        <v>0</v>
      </c>
      <c r="AK425" s="29">
        <f>IF(AN425=12,J425,0)</f>
        <v>0</v>
      </c>
      <c r="AL425" s="29">
        <f>IF(AN425=21,J425,0)</f>
        <v>0</v>
      </c>
      <c r="AN425" s="29">
        <v>21</v>
      </c>
      <c r="AO425" s="29">
        <f>G425*1</f>
        <v>0</v>
      </c>
      <c r="AP425" s="29">
        <f>G425*(1-1)</f>
        <v>0</v>
      </c>
      <c r="AQ425" s="31" t="s">
        <v>117</v>
      </c>
      <c r="AV425" s="29">
        <f>AW425+AX425</f>
        <v>0</v>
      </c>
      <c r="AW425" s="29">
        <f>F425*AO425</f>
        <v>0</v>
      </c>
      <c r="AX425" s="29">
        <f>F425*AP425</f>
        <v>0</v>
      </c>
      <c r="AY425" s="31" t="s">
        <v>695</v>
      </c>
      <c r="AZ425" s="31" t="s">
        <v>696</v>
      </c>
      <c r="BA425" s="11" t="s">
        <v>439</v>
      </c>
      <c r="BC425" s="29">
        <f>AW425+AX425</f>
        <v>0</v>
      </c>
      <c r="BD425" s="29">
        <f>G425/(100-BE425)*100</f>
        <v>0</v>
      </c>
      <c r="BE425" s="29">
        <v>0</v>
      </c>
      <c r="BF425" s="29">
        <f>425</f>
        <v>425</v>
      </c>
      <c r="BH425" s="29">
        <f>F425*AO425</f>
        <v>0</v>
      </c>
      <c r="BI425" s="29">
        <f>F425*AP425</f>
        <v>0</v>
      </c>
      <c r="BJ425" s="29">
        <f>F425*G425</f>
        <v>0</v>
      </c>
      <c r="BK425" s="29"/>
      <c r="BL425" s="29">
        <v>711</v>
      </c>
      <c r="BW425" s="29">
        <v>21</v>
      </c>
      <c r="BX425" s="5" t="s">
        <v>725</v>
      </c>
    </row>
    <row r="426" spans="1:76" ht="14.4" x14ac:dyDescent="0.3">
      <c r="A426" s="32"/>
      <c r="C426" s="33" t="s">
        <v>575</v>
      </c>
      <c r="D426" s="33" t="s">
        <v>726</v>
      </c>
      <c r="F426" s="34">
        <v>179.405</v>
      </c>
      <c r="K426" s="35"/>
    </row>
    <row r="427" spans="1:76" ht="14.4" x14ac:dyDescent="0.3">
      <c r="A427" s="32"/>
      <c r="C427" s="33" t="s">
        <v>727</v>
      </c>
      <c r="D427" s="33" t="s">
        <v>51</v>
      </c>
      <c r="F427" s="34">
        <v>8.9702500000000001</v>
      </c>
      <c r="K427" s="35"/>
    </row>
    <row r="428" spans="1:76" ht="14.4" x14ac:dyDescent="0.3">
      <c r="A428" s="2" t="s">
        <v>728</v>
      </c>
      <c r="B428" s="3" t="s">
        <v>540</v>
      </c>
      <c r="C428" s="87" t="s">
        <v>729</v>
      </c>
      <c r="D428" s="84"/>
      <c r="E428" s="3" t="s">
        <v>59</v>
      </c>
      <c r="F428" s="29">
        <v>188.37524999999999</v>
      </c>
      <c r="G428" s="29">
        <v>0</v>
      </c>
      <c r="H428" s="29">
        <f>F428*AO428</f>
        <v>0</v>
      </c>
      <c r="I428" s="29">
        <f>F428*AP428</f>
        <v>0</v>
      </c>
      <c r="J428" s="29">
        <f>F428*G428</f>
        <v>0</v>
      </c>
      <c r="K428" s="30" t="s">
        <v>250</v>
      </c>
      <c r="Z428" s="29">
        <f>IF(AQ428="5",BJ428,0)</f>
        <v>0</v>
      </c>
      <c r="AB428" s="29">
        <f>IF(AQ428="1",BH428,0)</f>
        <v>0</v>
      </c>
      <c r="AC428" s="29">
        <f>IF(AQ428="1",BI428,0)</f>
        <v>0</v>
      </c>
      <c r="AD428" s="29">
        <f>IF(AQ428="7",BH428,0)</f>
        <v>0</v>
      </c>
      <c r="AE428" s="29">
        <f>IF(AQ428="7",BI428,0)</f>
        <v>0</v>
      </c>
      <c r="AF428" s="29">
        <f>IF(AQ428="2",BH428,0)</f>
        <v>0</v>
      </c>
      <c r="AG428" s="29">
        <f>IF(AQ428="2",BI428,0)</f>
        <v>0</v>
      </c>
      <c r="AH428" s="29">
        <f>IF(AQ428="0",BJ428,0)</f>
        <v>0</v>
      </c>
      <c r="AI428" s="11" t="s">
        <v>433</v>
      </c>
      <c r="AJ428" s="29">
        <f>IF(AN428=0,J428,0)</f>
        <v>0</v>
      </c>
      <c r="AK428" s="29">
        <f>IF(AN428=12,J428,0)</f>
        <v>0</v>
      </c>
      <c r="AL428" s="29">
        <f>IF(AN428=21,J428,0)</f>
        <v>0</v>
      </c>
      <c r="AN428" s="29">
        <v>21</v>
      </c>
      <c r="AO428" s="29">
        <f>G428*1</f>
        <v>0</v>
      </c>
      <c r="AP428" s="29">
        <f>G428*(1-1)</f>
        <v>0</v>
      </c>
      <c r="AQ428" s="31" t="s">
        <v>117</v>
      </c>
      <c r="AV428" s="29">
        <f>AW428+AX428</f>
        <v>0</v>
      </c>
      <c r="AW428" s="29">
        <f>F428*AO428</f>
        <v>0</v>
      </c>
      <c r="AX428" s="29">
        <f>F428*AP428</f>
        <v>0</v>
      </c>
      <c r="AY428" s="31" t="s">
        <v>695</v>
      </c>
      <c r="AZ428" s="31" t="s">
        <v>696</v>
      </c>
      <c r="BA428" s="11" t="s">
        <v>439</v>
      </c>
      <c r="BC428" s="29">
        <f>AW428+AX428</f>
        <v>0</v>
      </c>
      <c r="BD428" s="29">
        <f>G428/(100-BE428)*100</f>
        <v>0</v>
      </c>
      <c r="BE428" s="29">
        <v>0</v>
      </c>
      <c r="BF428" s="29">
        <f>428</f>
        <v>428</v>
      </c>
      <c r="BH428" s="29">
        <f>F428*AO428</f>
        <v>0</v>
      </c>
      <c r="BI428" s="29">
        <f>F428*AP428</f>
        <v>0</v>
      </c>
      <c r="BJ428" s="29">
        <f>F428*G428</f>
        <v>0</v>
      </c>
      <c r="BK428" s="29"/>
      <c r="BL428" s="29">
        <v>711</v>
      </c>
      <c r="BW428" s="29">
        <v>21</v>
      </c>
      <c r="BX428" s="5" t="s">
        <v>729</v>
      </c>
    </row>
    <row r="429" spans="1:76" ht="14.4" x14ac:dyDescent="0.3">
      <c r="A429" s="32"/>
      <c r="C429" s="33" t="s">
        <v>575</v>
      </c>
      <c r="D429" s="33" t="s">
        <v>211</v>
      </c>
      <c r="F429" s="34">
        <v>179.405</v>
      </c>
      <c r="K429" s="35"/>
    </row>
    <row r="430" spans="1:76" ht="14.4" x14ac:dyDescent="0.3">
      <c r="A430" s="32"/>
      <c r="C430" s="33" t="s">
        <v>727</v>
      </c>
      <c r="D430" s="33" t="s">
        <v>51</v>
      </c>
      <c r="F430" s="34">
        <v>8.9702500000000001</v>
      </c>
      <c r="K430" s="35"/>
    </row>
    <row r="431" spans="1:76" ht="14.4" x14ac:dyDescent="0.3">
      <c r="A431" s="2" t="s">
        <v>730</v>
      </c>
      <c r="B431" s="3" t="s">
        <v>731</v>
      </c>
      <c r="C431" s="87" t="s">
        <v>732</v>
      </c>
      <c r="D431" s="84"/>
      <c r="E431" s="3" t="s">
        <v>59</v>
      </c>
      <c r="F431" s="29">
        <v>197.34549999999999</v>
      </c>
      <c r="G431" s="29">
        <v>0</v>
      </c>
      <c r="H431" s="29">
        <f>F431*AO431</f>
        <v>0</v>
      </c>
      <c r="I431" s="29">
        <f>F431*AP431</f>
        <v>0</v>
      </c>
      <c r="J431" s="29">
        <f>F431*G431</f>
        <v>0</v>
      </c>
      <c r="K431" s="30" t="s">
        <v>60</v>
      </c>
      <c r="Z431" s="29">
        <f>IF(AQ431="5",BJ431,0)</f>
        <v>0</v>
      </c>
      <c r="AB431" s="29">
        <f>IF(AQ431="1",BH431,0)</f>
        <v>0</v>
      </c>
      <c r="AC431" s="29">
        <f>IF(AQ431="1",BI431,0)</f>
        <v>0</v>
      </c>
      <c r="AD431" s="29">
        <f>IF(AQ431="7",BH431,0)</f>
        <v>0</v>
      </c>
      <c r="AE431" s="29">
        <f>IF(AQ431="7",BI431,0)</f>
        <v>0</v>
      </c>
      <c r="AF431" s="29">
        <f>IF(AQ431="2",BH431,0)</f>
        <v>0</v>
      </c>
      <c r="AG431" s="29">
        <f>IF(AQ431="2",BI431,0)</f>
        <v>0</v>
      </c>
      <c r="AH431" s="29">
        <f>IF(AQ431="0",BJ431,0)</f>
        <v>0</v>
      </c>
      <c r="AI431" s="11" t="s">
        <v>433</v>
      </c>
      <c r="AJ431" s="29">
        <f>IF(AN431=0,J431,0)</f>
        <v>0</v>
      </c>
      <c r="AK431" s="29">
        <f>IF(AN431=12,J431,0)</f>
        <v>0</v>
      </c>
      <c r="AL431" s="29">
        <f>IF(AN431=21,J431,0)</f>
        <v>0</v>
      </c>
      <c r="AN431" s="29">
        <v>21</v>
      </c>
      <c r="AO431" s="29">
        <f>G431*1</f>
        <v>0</v>
      </c>
      <c r="AP431" s="29">
        <f>G431*(1-1)</f>
        <v>0</v>
      </c>
      <c r="AQ431" s="31" t="s">
        <v>117</v>
      </c>
      <c r="AV431" s="29">
        <f>AW431+AX431</f>
        <v>0</v>
      </c>
      <c r="AW431" s="29">
        <f>F431*AO431</f>
        <v>0</v>
      </c>
      <c r="AX431" s="29">
        <f>F431*AP431</f>
        <v>0</v>
      </c>
      <c r="AY431" s="31" t="s">
        <v>695</v>
      </c>
      <c r="AZ431" s="31" t="s">
        <v>696</v>
      </c>
      <c r="BA431" s="11" t="s">
        <v>439</v>
      </c>
      <c r="BC431" s="29">
        <f>AW431+AX431</f>
        <v>0</v>
      </c>
      <c r="BD431" s="29">
        <f>G431/(100-BE431)*100</f>
        <v>0</v>
      </c>
      <c r="BE431" s="29">
        <v>0</v>
      </c>
      <c r="BF431" s="29">
        <f>431</f>
        <v>431</v>
      </c>
      <c r="BH431" s="29">
        <f>F431*AO431</f>
        <v>0</v>
      </c>
      <c r="BI431" s="29">
        <f>F431*AP431</f>
        <v>0</v>
      </c>
      <c r="BJ431" s="29">
        <f>F431*G431</f>
        <v>0</v>
      </c>
      <c r="BK431" s="29"/>
      <c r="BL431" s="29">
        <v>711</v>
      </c>
      <c r="BW431" s="29">
        <v>21</v>
      </c>
      <c r="BX431" s="5" t="s">
        <v>732</v>
      </c>
    </row>
    <row r="432" spans="1:76" ht="14.4" x14ac:dyDescent="0.3">
      <c r="A432" s="32"/>
      <c r="C432" s="33" t="s">
        <v>575</v>
      </c>
      <c r="D432" s="33" t="s">
        <v>211</v>
      </c>
      <c r="F432" s="34">
        <v>179.405</v>
      </c>
      <c r="K432" s="35"/>
    </row>
    <row r="433" spans="1:76" ht="14.4" x14ac:dyDescent="0.3">
      <c r="A433" s="32"/>
      <c r="C433" s="33" t="s">
        <v>733</v>
      </c>
      <c r="D433" s="33" t="s">
        <v>51</v>
      </c>
      <c r="F433" s="34">
        <v>17.9405</v>
      </c>
      <c r="K433" s="35"/>
    </row>
    <row r="434" spans="1:76" ht="14.4" x14ac:dyDescent="0.3">
      <c r="A434" s="2" t="s">
        <v>734</v>
      </c>
      <c r="B434" s="3" t="s">
        <v>735</v>
      </c>
      <c r="C434" s="87" t="s">
        <v>736</v>
      </c>
      <c r="D434" s="84"/>
      <c r="E434" s="3" t="s">
        <v>269</v>
      </c>
      <c r="F434" s="29">
        <v>1.8977999999999999</v>
      </c>
      <c r="G434" s="29">
        <v>0</v>
      </c>
      <c r="H434" s="29">
        <f>F434*AO434</f>
        <v>0</v>
      </c>
      <c r="I434" s="29">
        <f>F434*AP434</f>
        <v>0</v>
      </c>
      <c r="J434" s="29">
        <f>F434*G434</f>
        <v>0</v>
      </c>
      <c r="K434" s="30" t="s">
        <v>60</v>
      </c>
      <c r="Z434" s="29">
        <f>IF(AQ434="5",BJ434,0)</f>
        <v>0</v>
      </c>
      <c r="AB434" s="29">
        <f>IF(AQ434="1",BH434,0)</f>
        <v>0</v>
      </c>
      <c r="AC434" s="29">
        <f>IF(AQ434="1",BI434,0)</f>
        <v>0</v>
      </c>
      <c r="AD434" s="29">
        <f>IF(AQ434="7",BH434,0)</f>
        <v>0</v>
      </c>
      <c r="AE434" s="29">
        <f>IF(AQ434="7",BI434,0)</f>
        <v>0</v>
      </c>
      <c r="AF434" s="29">
        <f>IF(AQ434="2",BH434,0)</f>
        <v>0</v>
      </c>
      <c r="AG434" s="29">
        <f>IF(AQ434="2",BI434,0)</f>
        <v>0</v>
      </c>
      <c r="AH434" s="29">
        <f>IF(AQ434="0",BJ434,0)</f>
        <v>0</v>
      </c>
      <c r="AI434" s="11" t="s">
        <v>433</v>
      </c>
      <c r="AJ434" s="29">
        <f>IF(AN434=0,J434,0)</f>
        <v>0</v>
      </c>
      <c r="AK434" s="29">
        <f>IF(AN434=12,J434,0)</f>
        <v>0</v>
      </c>
      <c r="AL434" s="29">
        <f>IF(AN434=21,J434,0)</f>
        <v>0</v>
      </c>
      <c r="AN434" s="29">
        <v>21</v>
      </c>
      <c r="AO434" s="29">
        <f>G434*0</f>
        <v>0</v>
      </c>
      <c r="AP434" s="29">
        <f>G434*(1-0)</f>
        <v>0</v>
      </c>
      <c r="AQ434" s="31" t="s">
        <v>100</v>
      </c>
      <c r="AV434" s="29">
        <f>AW434+AX434</f>
        <v>0</v>
      </c>
      <c r="AW434" s="29">
        <f>F434*AO434</f>
        <v>0</v>
      </c>
      <c r="AX434" s="29">
        <f>F434*AP434</f>
        <v>0</v>
      </c>
      <c r="AY434" s="31" t="s">
        <v>695</v>
      </c>
      <c r="AZ434" s="31" t="s">
        <v>696</v>
      </c>
      <c r="BA434" s="11" t="s">
        <v>439</v>
      </c>
      <c r="BC434" s="29">
        <f>AW434+AX434</f>
        <v>0</v>
      </c>
      <c r="BD434" s="29">
        <f>G434/(100-BE434)*100</f>
        <v>0</v>
      </c>
      <c r="BE434" s="29">
        <v>0</v>
      </c>
      <c r="BF434" s="29">
        <f>434</f>
        <v>434</v>
      </c>
      <c r="BH434" s="29">
        <f>F434*AO434</f>
        <v>0</v>
      </c>
      <c r="BI434" s="29">
        <f>F434*AP434</f>
        <v>0</v>
      </c>
      <c r="BJ434" s="29">
        <f>F434*G434</f>
        <v>0</v>
      </c>
      <c r="BK434" s="29"/>
      <c r="BL434" s="29">
        <v>711</v>
      </c>
      <c r="BW434" s="29">
        <v>21</v>
      </c>
      <c r="BX434" s="5" t="s">
        <v>736</v>
      </c>
    </row>
    <row r="435" spans="1:76" ht="14.4" x14ac:dyDescent="0.3">
      <c r="A435" s="25" t="s">
        <v>51</v>
      </c>
      <c r="B435" s="26" t="s">
        <v>737</v>
      </c>
      <c r="C435" s="143" t="s">
        <v>738</v>
      </c>
      <c r="D435" s="144"/>
      <c r="E435" s="27" t="s">
        <v>4</v>
      </c>
      <c r="F435" s="27" t="s">
        <v>4</v>
      </c>
      <c r="G435" s="27" t="s">
        <v>4</v>
      </c>
      <c r="H435" s="1">
        <f>SUM(H436:H443)</f>
        <v>0</v>
      </c>
      <c r="I435" s="1">
        <f>SUM(I436:I443)</f>
        <v>0</v>
      </c>
      <c r="J435" s="1">
        <f>SUM(J436:J443)</f>
        <v>0</v>
      </c>
      <c r="K435" s="28" t="s">
        <v>51</v>
      </c>
      <c r="AI435" s="11" t="s">
        <v>433</v>
      </c>
      <c r="AS435" s="1">
        <f>SUM(AJ436:AJ443)</f>
        <v>0</v>
      </c>
      <c r="AT435" s="1">
        <f>SUM(AK436:AK443)</f>
        <v>0</v>
      </c>
      <c r="AU435" s="1">
        <f>SUM(AL436:AL443)</f>
        <v>0</v>
      </c>
    </row>
    <row r="436" spans="1:76" ht="14.4" x14ac:dyDescent="0.3">
      <c r="A436" s="2" t="s">
        <v>739</v>
      </c>
      <c r="B436" s="3" t="s">
        <v>740</v>
      </c>
      <c r="C436" s="87" t="s">
        <v>741</v>
      </c>
      <c r="D436" s="84"/>
      <c r="E436" s="3" t="s">
        <v>59</v>
      </c>
      <c r="F436" s="29">
        <v>557.65</v>
      </c>
      <c r="G436" s="29">
        <v>0</v>
      </c>
      <c r="H436" s="29">
        <f>F436*AO436</f>
        <v>0</v>
      </c>
      <c r="I436" s="29">
        <f>F436*AP436</f>
        <v>0</v>
      </c>
      <c r="J436" s="29">
        <f>F436*G436</f>
        <v>0</v>
      </c>
      <c r="K436" s="30" t="s">
        <v>60</v>
      </c>
      <c r="Z436" s="29">
        <f>IF(AQ436="5",BJ436,0)</f>
        <v>0</v>
      </c>
      <c r="AB436" s="29">
        <f>IF(AQ436="1",BH436,0)</f>
        <v>0</v>
      </c>
      <c r="AC436" s="29">
        <f>IF(AQ436="1",BI436,0)</f>
        <v>0</v>
      </c>
      <c r="AD436" s="29">
        <f>IF(AQ436="7",BH436,0)</f>
        <v>0</v>
      </c>
      <c r="AE436" s="29">
        <f>IF(AQ436="7",BI436,0)</f>
        <v>0</v>
      </c>
      <c r="AF436" s="29">
        <f>IF(AQ436="2",BH436,0)</f>
        <v>0</v>
      </c>
      <c r="AG436" s="29">
        <f>IF(AQ436="2",BI436,0)</f>
        <v>0</v>
      </c>
      <c r="AH436" s="29">
        <f>IF(AQ436="0",BJ436,0)</f>
        <v>0</v>
      </c>
      <c r="AI436" s="11" t="s">
        <v>433</v>
      </c>
      <c r="AJ436" s="29">
        <f>IF(AN436=0,J436,0)</f>
        <v>0</v>
      </c>
      <c r="AK436" s="29">
        <f>IF(AN436=12,J436,0)</f>
        <v>0</v>
      </c>
      <c r="AL436" s="29">
        <f>IF(AN436=21,J436,0)</f>
        <v>0</v>
      </c>
      <c r="AN436" s="29">
        <v>21</v>
      </c>
      <c r="AO436" s="29">
        <f>G436*0</f>
        <v>0</v>
      </c>
      <c r="AP436" s="29">
        <f>G436*(1-0)</f>
        <v>0</v>
      </c>
      <c r="AQ436" s="31" t="s">
        <v>117</v>
      </c>
      <c r="AV436" s="29">
        <f>AW436+AX436</f>
        <v>0</v>
      </c>
      <c r="AW436" s="29">
        <f>F436*AO436</f>
        <v>0</v>
      </c>
      <c r="AX436" s="29">
        <f>F436*AP436</f>
        <v>0</v>
      </c>
      <c r="AY436" s="31" t="s">
        <v>742</v>
      </c>
      <c r="AZ436" s="31" t="s">
        <v>696</v>
      </c>
      <c r="BA436" s="11" t="s">
        <v>439</v>
      </c>
      <c r="BC436" s="29">
        <f>AW436+AX436</f>
        <v>0</v>
      </c>
      <c r="BD436" s="29">
        <f>G436/(100-BE436)*100</f>
        <v>0</v>
      </c>
      <c r="BE436" s="29">
        <v>0</v>
      </c>
      <c r="BF436" s="29">
        <f>436</f>
        <v>436</v>
      </c>
      <c r="BH436" s="29">
        <f>F436*AO436</f>
        <v>0</v>
      </c>
      <c r="BI436" s="29">
        <f>F436*AP436</f>
        <v>0</v>
      </c>
      <c r="BJ436" s="29">
        <f>F436*G436</f>
        <v>0</v>
      </c>
      <c r="BK436" s="29"/>
      <c r="BL436" s="29">
        <v>713</v>
      </c>
      <c r="BW436" s="29">
        <v>21</v>
      </c>
      <c r="BX436" s="5" t="s">
        <v>741</v>
      </c>
    </row>
    <row r="437" spans="1:76" ht="14.4" x14ac:dyDescent="0.3">
      <c r="A437" s="32"/>
      <c r="C437" s="33" t="s">
        <v>209</v>
      </c>
      <c r="D437" s="33" t="s">
        <v>210</v>
      </c>
      <c r="F437" s="34">
        <v>182.68</v>
      </c>
      <c r="K437" s="35"/>
    </row>
    <row r="438" spans="1:76" ht="14.4" x14ac:dyDescent="0.3">
      <c r="A438" s="32"/>
      <c r="C438" s="33" t="s">
        <v>124</v>
      </c>
      <c r="D438" s="33" t="s">
        <v>211</v>
      </c>
      <c r="F438" s="34">
        <v>185.18</v>
      </c>
      <c r="K438" s="35"/>
    </row>
    <row r="439" spans="1:76" ht="14.4" x14ac:dyDescent="0.3">
      <c r="A439" s="32"/>
      <c r="C439" s="33" t="s">
        <v>212</v>
      </c>
      <c r="D439" s="33" t="s">
        <v>213</v>
      </c>
      <c r="F439" s="34">
        <v>189.79</v>
      </c>
      <c r="K439" s="35"/>
    </row>
    <row r="440" spans="1:76" ht="14.4" x14ac:dyDescent="0.3">
      <c r="A440" s="2" t="s">
        <v>743</v>
      </c>
      <c r="B440" s="3" t="s">
        <v>744</v>
      </c>
      <c r="C440" s="87" t="s">
        <v>745</v>
      </c>
      <c r="D440" s="84"/>
      <c r="E440" s="3" t="s">
        <v>59</v>
      </c>
      <c r="F440" s="29">
        <v>585.53250000000003</v>
      </c>
      <c r="G440" s="29">
        <v>0</v>
      </c>
      <c r="H440" s="29">
        <f>F440*AO440</f>
        <v>0</v>
      </c>
      <c r="I440" s="29">
        <f>F440*AP440</f>
        <v>0</v>
      </c>
      <c r="J440" s="29">
        <f>F440*G440</f>
        <v>0</v>
      </c>
      <c r="K440" s="30" t="s">
        <v>60</v>
      </c>
      <c r="Z440" s="29">
        <f>IF(AQ440="5",BJ440,0)</f>
        <v>0</v>
      </c>
      <c r="AB440" s="29">
        <f>IF(AQ440="1",BH440,0)</f>
        <v>0</v>
      </c>
      <c r="AC440" s="29">
        <f>IF(AQ440="1",BI440,0)</f>
        <v>0</v>
      </c>
      <c r="AD440" s="29">
        <f>IF(AQ440="7",BH440,0)</f>
        <v>0</v>
      </c>
      <c r="AE440" s="29">
        <f>IF(AQ440="7",BI440,0)</f>
        <v>0</v>
      </c>
      <c r="AF440" s="29">
        <f>IF(AQ440="2",BH440,0)</f>
        <v>0</v>
      </c>
      <c r="AG440" s="29">
        <f>IF(AQ440="2",BI440,0)</f>
        <v>0</v>
      </c>
      <c r="AH440" s="29">
        <f>IF(AQ440="0",BJ440,0)</f>
        <v>0</v>
      </c>
      <c r="AI440" s="11" t="s">
        <v>433</v>
      </c>
      <c r="AJ440" s="29">
        <f>IF(AN440=0,J440,0)</f>
        <v>0</v>
      </c>
      <c r="AK440" s="29">
        <f>IF(AN440=12,J440,0)</f>
        <v>0</v>
      </c>
      <c r="AL440" s="29">
        <f>IF(AN440=21,J440,0)</f>
        <v>0</v>
      </c>
      <c r="AN440" s="29">
        <v>21</v>
      </c>
      <c r="AO440" s="29">
        <f>G440*1</f>
        <v>0</v>
      </c>
      <c r="AP440" s="29">
        <f>G440*(1-1)</f>
        <v>0</v>
      </c>
      <c r="AQ440" s="31" t="s">
        <v>117</v>
      </c>
      <c r="AV440" s="29">
        <f>AW440+AX440</f>
        <v>0</v>
      </c>
      <c r="AW440" s="29">
        <f>F440*AO440</f>
        <v>0</v>
      </c>
      <c r="AX440" s="29">
        <f>F440*AP440</f>
        <v>0</v>
      </c>
      <c r="AY440" s="31" t="s">
        <v>742</v>
      </c>
      <c r="AZ440" s="31" t="s">
        <v>696</v>
      </c>
      <c r="BA440" s="11" t="s">
        <v>439</v>
      </c>
      <c r="BC440" s="29">
        <f>AW440+AX440</f>
        <v>0</v>
      </c>
      <c r="BD440" s="29">
        <f>G440/(100-BE440)*100</f>
        <v>0</v>
      </c>
      <c r="BE440" s="29">
        <v>0</v>
      </c>
      <c r="BF440" s="29">
        <f>440</f>
        <v>440</v>
      </c>
      <c r="BH440" s="29">
        <f>F440*AO440</f>
        <v>0</v>
      </c>
      <c r="BI440" s="29">
        <f>F440*AP440</f>
        <v>0</v>
      </c>
      <c r="BJ440" s="29">
        <f>F440*G440</f>
        <v>0</v>
      </c>
      <c r="BK440" s="29"/>
      <c r="BL440" s="29">
        <v>713</v>
      </c>
      <c r="BW440" s="29">
        <v>21</v>
      </c>
      <c r="BX440" s="5" t="s">
        <v>745</v>
      </c>
    </row>
    <row r="441" spans="1:76" ht="14.4" x14ac:dyDescent="0.3">
      <c r="A441" s="32"/>
      <c r="C441" s="33" t="s">
        <v>746</v>
      </c>
      <c r="D441" s="33" t="s">
        <v>51</v>
      </c>
      <c r="F441" s="34">
        <v>557.65</v>
      </c>
      <c r="K441" s="35"/>
    </row>
    <row r="442" spans="1:76" ht="14.4" x14ac:dyDescent="0.3">
      <c r="A442" s="32"/>
      <c r="C442" s="33" t="s">
        <v>747</v>
      </c>
      <c r="D442" s="33" t="s">
        <v>51</v>
      </c>
      <c r="F442" s="34">
        <v>27.8825</v>
      </c>
      <c r="K442" s="35"/>
    </row>
    <row r="443" spans="1:76" ht="14.4" x14ac:dyDescent="0.3">
      <c r="A443" s="2" t="s">
        <v>748</v>
      </c>
      <c r="B443" s="3" t="s">
        <v>749</v>
      </c>
      <c r="C443" s="87" t="s">
        <v>750</v>
      </c>
      <c r="D443" s="84"/>
      <c r="E443" s="3" t="s">
        <v>269</v>
      </c>
      <c r="F443" s="29">
        <v>2.10792</v>
      </c>
      <c r="G443" s="29">
        <v>0</v>
      </c>
      <c r="H443" s="29">
        <f>F443*AO443</f>
        <v>0</v>
      </c>
      <c r="I443" s="29">
        <f>F443*AP443</f>
        <v>0</v>
      </c>
      <c r="J443" s="29">
        <f>F443*G443</f>
        <v>0</v>
      </c>
      <c r="K443" s="30" t="s">
        <v>60</v>
      </c>
      <c r="Z443" s="29">
        <f>IF(AQ443="5",BJ443,0)</f>
        <v>0</v>
      </c>
      <c r="AB443" s="29">
        <f>IF(AQ443="1",BH443,0)</f>
        <v>0</v>
      </c>
      <c r="AC443" s="29">
        <f>IF(AQ443="1",BI443,0)</f>
        <v>0</v>
      </c>
      <c r="AD443" s="29">
        <f>IF(AQ443="7",BH443,0)</f>
        <v>0</v>
      </c>
      <c r="AE443" s="29">
        <f>IF(AQ443="7",BI443,0)</f>
        <v>0</v>
      </c>
      <c r="AF443" s="29">
        <f>IF(AQ443="2",BH443,0)</f>
        <v>0</v>
      </c>
      <c r="AG443" s="29">
        <f>IF(AQ443="2",BI443,0)</f>
        <v>0</v>
      </c>
      <c r="AH443" s="29">
        <f>IF(AQ443="0",BJ443,0)</f>
        <v>0</v>
      </c>
      <c r="AI443" s="11" t="s">
        <v>433</v>
      </c>
      <c r="AJ443" s="29">
        <f>IF(AN443=0,J443,0)</f>
        <v>0</v>
      </c>
      <c r="AK443" s="29">
        <f>IF(AN443=12,J443,0)</f>
        <v>0</v>
      </c>
      <c r="AL443" s="29">
        <f>IF(AN443=21,J443,0)</f>
        <v>0</v>
      </c>
      <c r="AN443" s="29">
        <v>21</v>
      </c>
      <c r="AO443" s="29">
        <f>G443*0</f>
        <v>0</v>
      </c>
      <c r="AP443" s="29">
        <f>G443*(1-0)</f>
        <v>0</v>
      </c>
      <c r="AQ443" s="31" t="s">
        <v>100</v>
      </c>
      <c r="AV443" s="29">
        <f>AW443+AX443</f>
        <v>0</v>
      </c>
      <c r="AW443" s="29">
        <f>F443*AO443</f>
        <v>0</v>
      </c>
      <c r="AX443" s="29">
        <f>F443*AP443</f>
        <v>0</v>
      </c>
      <c r="AY443" s="31" t="s">
        <v>742</v>
      </c>
      <c r="AZ443" s="31" t="s">
        <v>696</v>
      </c>
      <c r="BA443" s="11" t="s">
        <v>439</v>
      </c>
      <c r="BC443" s="29">
        <f>AW443+AX443</f>
        <v>0</v>
      </c>
      <c r="BD443" s="29">
        <f>G443/(100-BE443)*100</f>
        <v>0</v>
      </c>
      <c r="BE443" s="29">
        <v>0</v>
      </c>
      <c r="BF443" s="29">
        <f>443</f>
        <v>443</v>
      </c>
      <c r="BH443" s="29">
        <f>F443*AO443</f>
        <v>0</v>
      </c>
      <c r="BI443" s="29">
        <f>F443*AP443</f>
        <v>0</v>
      </c>
      <c r="BJ443" s="29">
        <f>F443*G443</f>
        <v>0</v>
      </c>
      <c r="BK443" s="29"/>
      <c r="BL443" s="29">
        <v>713</v>
      </c>
      <c r="BW443" s="29">
        <v>21</v>
      </c>
      <c r="BX443" s="5" t="s">
        <v>750</v>
      </c>
    </row>
    <row r="444" spans="1:76" ht="14.4" x14ac:dyDescent="0.3">
      <c r="A444" s="25" t="s">
        <v>51</v>
      </c>
      <c r="B444" s="26" t="s">
        <v>751</v>
      </c>
      <c r="C444" s="143" t="s">
        <v>752</v>
      </c>
      <c r="D444" s="144"/>
      <c r="E444" s="27" t="s">
        <v>4</v>
      </c>
      <c r="F444" s="27" t="s">
        <v>4</v>
      </c>
      <c r="G444" s="27" t="s">
        <v>4</v>
      </c>
      <c r="H444" s="1">
        <f>SUM(H445:H446)</f>
        <v>0</v>
      </c>
      <c r="I444" s="1">
        <f>SUM(I445:I446)</f>
        <v>0</v>
      </c>
      <c r="J444" s="1">
        <f>SUM(J445:J446)</f>
        <v>0</v>
      </c>
      <c r="K444" s="28" t="s">
        <v>51</v>
      </c>
      <c r="AI444" s="11" t="s">
        <v>433</v>
      </c>
      <c r="AS444" s="1">
        <f>SUM(AJ445:AJ446)</f>
        <v>0</v>
      </c>
      <c r="AT444" s="1">
        <f>SUM(AK445:AK446)</f>
        <v>0</v>
      </c>
      <c r="AU444" s="1">
        <f>SUM(AL445:AL446)</f>
        <v>0</v>
      </c>
    </row>
    <row r="445" spans="1:76" ht="14.4" x14ac:dyDescent="0.3">
      <c r="A445" s="2" t="s">
        <v>753</v>
      </c>
      <c r="B445" s="3" t="s">
        <v>754</v>
      </c>
      <c r="C445" s="87" t="s">
        <v>755</v>
      </c>
      <c r="D445" s="84"/>
      <c r="E445" s="3" t="s">
        <v>103</v>
      </c>
      <c r="F445" s="29">
        <v>4</v>
      </c>
      <c r="G445" s="29">
        <v>0</v>
      </c>
      <c r="H445" s="29">
        <f>F445*AO445</f>
        <v>0</v>
      </c>
      <c r="I445" s="29">
        <f>F445*AP445</f>
        <v>0</v>
      </c>
      <c r="J445" s="29">
        <f>F445*G445</f>
        <v>0</v>
      </c>
      <c r="K445" s="30" t="s">
        <v>250</v>
      </c>
      <c r="Z445" s="29">
        <f>IF(AQ445="5",BJ445,0)</f>
        <v>0</v>
      </c>
      <c r="AB445" s="29">
        <f>IF(AQ445="1",BH445,0)</f>
        <v>0</v>
      </c>
      <c r="AC445" s="29">
        <f>IF(AQ445="1",BI445,0)</f>
        <v>0</v>
      </c>
      <c r="AD445" s="29">
        <f>IF(AQ445="7",BH445,0)</f>
        <v>0</v>
      </c>
      <c r="AE445" s="29">
        <f>IF(AQ445="7",BI445,0)</f>
        <v>0</v>
      </c>
      <c r="AF445" s="29">
        <f>IF(AQ445="2",BH445,0)</f>
        <v>0</v>
      </c>
      <c r="AG445" s="29">
        <f>IF(AQ445="2",BI445,0)</f>
        <v>0</v>
      </c>
      <c r="AH445" s="29">
        <f>IF(AQ445="0",BJ445,0)</f>
        <v>0</v>
      </c>
      <c r="AI445" s="11" t="s">
        <v>433</v>
      </c>
      <c r="AJ445" s="29">
        <f>IF(AN445=0,J445,0)</f>
        <v>0</v>
      </c>
      <c r="AK445" s="29">
        <f>IF(AN445=12,J445,0)</f>
        <v>0</v>
      </c>
      <c r="AL445" s="29">
        <f>IF(AN445=21,J445,0)</f>
        <v>0</v>
      </c>
      <c r="AN445" s="29">
        <v>21</v>
      </c>
      <c r="AO445" s="29">
        <f>G445*0.809880543</f>
        <v>0</v>
      </c>
      <c r="AP445" s="29">
        <f>G445*(1-0.809880543)</f>
        <v>0</v>
      </c>
      <c r="AQ445" s="31" t="s">
        <v>117</v>
      </c>
      <c r="AV445" s="29">
        <f>AW445+AX445</f>
        <v>0</v>
      </c>
      <c r="AW445" s="29">
        <f>F445*AO445</f>
        <v>0</v>
      </c>
      <c r="AX445" s="29">
        <f>F445*AP445</f>
        <v>0</v>
      </c>
      <c r="AY445" s="31" t="s">
        <v>756</v>
      </c>
      <c r="AZ445" s="31" t="s">
        <v>757</v>
      </c>
      <c r="BA445" s="11" t="s">
        <v>439</v>
      </c>
      <c r="BC445" s="29">
        <f>AW445+AX445</f>
        <v>0</v>
      </c>
      <c r="BD445" s="29">
        <f>G445/(100-BE445)*100</f>
        <v>0</v>
      </c>
      <c r="BE445" s="29">
        <v>0</v>
      </c>
      <c r="BF445" s="29">
        <f>445</f>
        <v>445</v>
      </c>
      <c r="BH445" s="29">
        <f>F445*AO445</f>
        <v>0</v>
      </c>
      <c r="BI445" s="29">
        <f>F445*AP445</f>
        <v>0</v>
      </c>
      <c r="BJ445" s="29">
        <f>F445*G445</f>
        <v>0</v>
      </c>
      <c r="BK445" s="29"/>
      <c r="BL445" s="29">
        <v>721</v>
      </c>
      <c r="BW445" s="29">
        <v>21</v>
      </c>
      <c r="BX445" s="5" t="s">
        <v>755</v>
      </c>
    </row>
    <row r="446" spans="1:76" ht="14.4" x14ac:dyDescent="0.3">
      <c r="A446" s="2" t="s">
        <v>758</v>
      </c>
      <c r="B446" s="3" t="s">
        <v>759</v>
      </c>
      <c r="C446" s="87" t="s">
        <v>760</v>
      </c>
      <c r="D446" s="84"/>
      <c r="E446" s="3" t="s">
        <v>269</v>
      </c>
      <c r="F446" s="29">
        <v>0.30320000000000003</v>
      </c>
      <c r="G446" s="29">
        <v>0</v>
      </c>
      <c r="H446" s="29">
        <f>F446*AO446</f>
        <v>0</v>
      </c>
      <c r="I446" s="29">
        <f>F446*AP446</f>
        <v>0</v>
      </c>
      <c r="J446" s="29">
        <f>F446*G446</f>
        <v>0</v>
      </c>
      <c r="K446" s="30" t="s">
        <v>60</v>
      </c>
      <c r="Z446" s="29">
        <f>IF(AQ446="5",BJ446,0)</f>
        <v>0</v>
      </c>
      <c r="AB446" s="29">
        <f>IF(AQ446="1",BH446,0)</f>
        <v>0</v>
      </c>
      <c r="AC446" s="29">
        <f>IF(AQ446="1",BI446,0)</f>
        <v>0</v>
      </c>
      <c r="AD446" s="29">
        <f>IF(AQ446="7",BH446,0)</f>
        <v>0</v>
      </c>
      <c r="AE446" s="29">
        <f>IF(AQ446="7",BI446,0)</f>
        <v>0</v>
      </c>
      <c r="AF446" s="29">
        <f>IF(AQ446="2",BH446,0)</f>
        <v>0</v>
      </c>
      <c r="AG446" s="29">
        <f>IF(AQ446="2",BI446,0)</f>
        <v>0</v>
      </c>
      <c r="AH446" s="29">
        <f>IF(AQ446="0",BJ446,0)</f>
        <v>0</v>
      </c>
      <c r="AI446" s="11" t="s">
        <v>433</v>
      </c>
      <c r="AJ446" s="29">
        <f>IF(AN446=0,J446,0)</f>
        <v>0</v>
      </c>
      <c r="AK446" s="29">
        <f>IF(AN446=12,J446,0)</f>
        <v>0</v>
      </c>
      <c r="AL446" s="29">
        <f>IF(AN446=21,J446,0)</f>
        <v>0</v>
      </c>
      <c r="AN446" s="29">
        <v>21</v>
      </c>
      <c r="AO446" s="29">
        <f>G446*0</f>
        <v>0</v>
      </c>
      <c r="AP446" s="29">
        <f>G446*(1-0)</f>
        <v>0</v>
      </c>
      <c r="AQ446" s="31" t="s">
        <v>100</v>
      </c>
      <c r="AV446" s="29">
        <f>AW446+AX446</f>
        <v>0</v>
      </c>
      <c r="AW446" s="29">
        <f>F446*AO446</f>
        <v>0</v>
      </c>
      <c r="AX446" s="29">
        <f>F446*AP446</f>
        <v>0</v>
      </c>
      <c r="AY446" s="31" t="s">
        <v>756</v>
      </c>
      <c r="AZ446" s="31" t="s">
        <v>757</v>
      </c>
      <c r="BA446" s="11" t="s">
        <v>439</v>
      </c>
      <c r="BC446" s="29">
        <f>AW446+AX446</f>
        <v>0</v>
      </c>
      <c r="BD446" s="29">
        <f>G446/(100-BE446)*100</f>
        <v>0</v>
      </c>
      <c r="BE446" s="29">
        <v>0</v>
      </c>
      <c r="BF446" s="29">
        <f>446</f>
        <v>446</v>
      </c>
      <c r="BH446" s="29">
        <f>F446*AO446</f>
        <v>0</v>
      </c>
      <c r="BI446" s="29">
        <f>F446*AP446</f>
        <v>0</v>
      </c>
      <c r="BJ446" s="29">
        <f>F446*G446</f>
        <v>0</v>
      </c>
      <c r="BK446" s="29"/>
      <c r="BL446" s="29">
        <v>721</v>
      </c>
      <c r="BW446" s="29">
        <v>21</v>
      </c>
      <c r="BX446" s="5" t="s">
        <v>760</v>
      </c>
    </row>
    <row r="447" spans="1:76" ht="14.4" x14ac:dyDescent="0.3">
      <c r="A447" s="25" t="s">
        <v>51</v>
      </c>
      <c r="B447" s="26" t="s">
        <v>761</v>
      </c>
      <c r="C447" s="143" t="s">
        <v>762</v>
      </c>
      <c r="D447" s="144"/>
      <c r="E447" s="27" t="s">
        <v>4</v>
      </c>
      <c r="F447" s="27" t="s">
        <v>4</v>
      </c>
      <c r="G447" s="27" t="s">
        <v>4</v>
      </c>
      <c r="H447" s="1">
        <f>SUM(H448:H453)</f>
        <v>0</v>
      </c>
      <c r="I447" s="1">
        <f>SUM(I448:I453)</f>
        <v>0</v>
      </c>
      <c r="J447" s="1">
        <f>SUM(J448:J453)</f>
        <v>0</v>
      </c>
      <c r="K447" s="28" t="s">
        <v>51</v>
      </c>
      <c r="AI447" s="11" t="s">
        <v>433</v>
      </c>
      <c r="AS447" s="1">
        <f>SUM(AJ448:AJ453)</f>
        <v>0</v>
      </c>
      <c r="AT447" s="1">
        <f>SUM(AK448:AK453)</f>
        <v>0</v>
      </c>
      <c r="AU447" s="1">
        <f>SUM(AL448:AL453)</f>
        <v>0</v>
      </c>
    </row>
    <row r="448" spans="1:76" ht="14.4" x14ac:dyDescent="0.3">
      <c r="A448" s="2" t="s">
        <v>763</v>
      </c>
      <c r="B448" s="3" t="s">
        <v>764</v>
      </c>
      <c r="C448" s="87" t="s">
        <v>765</v>
      </c>
      <c r="D448" s="84"/>
      <c r="E448" s="3" t="s">
        <v>59</v>
      </c>
      <c r="F448" s="29">
        <v>10.08</v>
      </c>
      <c r="G448" s="29">
        <v>0</v>
      </c>
      <c r="H448" s="29">
        <f>F448*AO448</f>
        <v>0</v>
      </c>
      <c r="I448" s="29">
        <f>F448*AP448</f>
        <v>0</v>
      </c>
      <c r="J448" s="29">
        <f>F448*G448</f>
        <v>0</v>
      </c>
      <c r="K448" s="30" t="s">
        <v>60</v>
      </c>
      <c r="Z448" s="29">
        <f>IF(AQ448="5",BJ448,0)</f>
        <v>0</v>
      </c>
      <c r="AB448" s="29">
        <f>IF(AQ448="1",BH448,0)</f>
        <v>0</v>
      </c>
      <c r="AC448" s="29">
        <f>IF(AQ448="1",BI448,0)</f>
        <v>0</v>
      </c>
      <c r="AD448" s="29">
        <f>IF(AQ448="7",BH448,0)</f>
        <v>0</v>
      </c>
      <c r="AE448" s="29">
        <f>IF(AQ448="7",BI448,0)</f>
        <v>0</v>
      </c>
      <c r="AF448" s="29">
        <f>IF(AQ448="2",BH448,0)</f>
        <v>0</v>
      </c>
      <c r="AG448" s="29">
        <f>IF(AQ448="2",BI448,0)</f>
        <v>0</v>
      </c>
      <c r="AH448" s="29">
        <f>IF(AQ448="0",BJ448,0)</f>
        <v>0</v>
      </c>
      <c r="AI448" s="11" t="s">
        <v>433</v>
      </c>
      <c r="AJ448" s="29">
        <f>IF(AN448=0,J448,0)</f>
        <v>0</v>
      </c>
      <c r="AK448" s="29">
        <f>IF(AN448=12,J448,0)</f>
        <v>0</v>
      </c>
      <c r="AL448" s="29">
        <f>IF(AN448=21,J448,0)</f>
        <v>0</v>
      </c>
      <c r="AN448" s="29">
        <v>21</v>
      </c>
      <c r="AO448" s="29">
        <f>G448*0.495538349</f>
        <v>0</v>
      </c>
      <c r="AP448" s="29">
        <f>G448*(1-0.495538349)</f>
        <v>0</v>
      </c>
      <c r="AQ448" s="31" t="s">
        <v>117</v>
      </c>
      <c r="AV448" s="29">
        <f>AW448+AX448</f>
        <v>0</v>
      </c>
      <c r="AW448" s="29">
        <f>F448*AO448</f>
        <v>0</v>
      </c>
      <c r="AX448" s="29">
        <f>F448*AP448</f>
        <v>0</v>
      </c>
      <c r="AY448" s="31" t="s">
        <v>766</v>
      </c>
      <c r="AZ448" s="31" t="s">
        <v>767</v>
      </c>
      <c r="BA448" s="11" t="s">
        <v>439</v>
      </c>
      <c r="BC448" s="29">
        <f>AW448+AX448</f>
        <v>0</v>
      </c>
      <c r="BD448" s="29">
        <f>G448/(100-BE448)*100</f>
        <v>0</v>
      </c>
      <c r="BE448" s="29">
        <v>0</v>
      </c>
      <c r="BF448" s="29">
        <f>448</f>
        <v>448</v>
      </c>
      <c r="BH448" s="29">
        <f>F448*AO448</f>
        <v>0</v>
      </c>
      <c r="BI448" s="29">
        <f>F448*AP448</f>
        <v>0</v>
      </c>
      <c r="BJ448" s="29">
        <f>F448*G448</f>
        <v>0</v>
      </c>
      <c r="BK448" s="29"/>
      <c r="BL448" s="29">
        <v>761</v>
      </c>
      <c r="BW448" s="29">
        <v>21</v>
      </c>
      <c r="BX448" s="5" t="s">
        <v>765</v>
      </c>
    </row>
    <row r="449" spans="1:76" ht="14.4" x14ac:dyDescent="0.3">
      <c r="A449" s="32"/>
      <c r="C449" s="33" t="s">
        <v>231</v>
      </c>
      <c r="D449" s="33" t="s">
        <v>768</v>
      </c>
      <c r="F449" s="34">
        <v>10.08</v>
      </c>
      <c r="K449" s="35"/>
    </row>
    <row r="450" spans="1:76" ht="26.4" x14ac:dyDescent="0.3">
      <c r="A450" s="2" t="s">
        <v>769</v>
      </c>
      <c r="B450" s="3" t="s">
        <v>770</v>
      </c>
      <c r="C450" s="87" t="s">
        <v>771</v>
      </c>
      <c r="D450" s="84"/>
      <c r="E450" s="3" t="s">
        <v>103</v>
      </c>
      <c r="F450" s="29">
        <v>265</v>
      </c>
      <c r="G450" s="29">
        <v>0</v>
      </c>
      <c r="H450" s="29">
        <f>F450*AO450</f>
        <v>0</v>
      </c>
      <c r="I450" s="29">
        <f>F450*AP450</f>
        <v>0</v>
      </c>
      <c r="J450" s="29">
        <f>F450*G450</f>
        <v>0</v>
      </c>
      <c r="K450" s="30" t="s">
        <v>60</v>
      </c>
      <c r="Z450" s="29">
        <f>IF(AQ450="5",BJ450,0)</f>
        <v>0</v>
      </c>
      <c r="AB450" s="29">
        <f>IF(AQ450="1",BH450,0)</f>
        <v>0</v>
      </c>
      <c r="AC450" s="29">
        <f>IF(AQ450="1",BI450,0)</f>
        <v>0</v>
      </c>
      <c r="AD450" s="29">
        <f>IF(AQ450="7",BH450,0)</f>
        <v>0</v>
      </c>
      <c r="AE450" s="29">
        <f>IF(AQ450="7",BI450,0)</f>
        <v>0</v>
      </c>
      <c r="AF450" s="29">
        <f>IF(AQ450="2",BH450,0)</f>
        <v>0</v>
      </c>
      <c r="AG450" s="29">
        <f>IF(AQ450="2",BI450,0)</f>
        <v>0</v>
      </c>
      <c r="AH450" s="29">
        <f>IF(AQ450="0",BJ450,0)</f>
        <v>0</v>
      </c>
      <c r="AI450" s="11" t="s">
        <v>433</v>
      </c>
      <c r="AJ450" s="29">
        <f>IF(AN450=0,J450,0)</f>
        <v>0</v>
      </c>
      <c r="AK450" s="29">
        <f>IF(AN450=12,J450,0)</f>
        <v>0</v>
      </c>
      <c r="AL450" s="29">
        <f>IF(AN450=21,J450,0)</f>
        <v>0</v>
      </c>
      <c r="AN450" s="29">
        <v>21</v>
      </c>
      <c r="AO450" s="29">
        <f>G450*1</f>
        <v>0</v>
      </c>
      <c r="AP450" s="29">
        <f>G450*(1-1)</f>
        <v>0</v>
      </c>
      <c r="AQ450" s="31" t="s">
        <v>117</v>
      </c>
      <c r="AV450" s="29">
        <f>AW450+AX450</f>
        <v>0</v>
      </c>
      <c r="AW450" s="29">
        <f>F450*AO450</f>
        <v>0</v>
      </c>
      <c r="AX450" s="29">
        <f>F450*AP450</f>
        <v>0</v>
      </c>
      <c r="AY450" s="31" t="s">
        <v>766</v>
      </c>
      <c r="AZ450" s="31" t="s">
        <v>767</v>
      </c>
      <c r="BA450" s="11" t="s">
        <v>439</v>
      </c>
      <c r="BC450" s="29">
        <f>AW450+AX450</f>
        <v>0</v>
      </c>
      <c r="BD450" s="29">
        <f>G450/(100-BE450)*100</f>
        <v>0</v>
      </c>
      <c r="BE450" s="29">
        <v>0</v>
      </c>
      <c r="BF450" s="29">
        <f>450</f>
        <v>450</v>
      </c>
      <c r="BH450" s="29">
        <f>F450*AO450</f>
        <v>0</v>
      </c>
      <c r="BI450" s="29">
        <f>F450*AP450</f>
        <v>0</v>
      </c>
      <c r="BJ450" s="29">
        <f>F450*G450</f>
        <v>0</v>
      </c>
      <c r="BK450" s="29"/>
      <c r="BL450" s="29">
        <v>761</v>
      </c>
      <c r="BW450" s="29">
        <v>21</v>
      </c>
      <c r="BX450" s="5" t="s">
        <v>771</v>
      </c>
    </row>
    <row r="451" spans="1:76" ht="14.4" x14ac:dyDescent="0.3">
      <c r="A451" s="32"/>
      <c r="C451" s="33" t="s">
        <v>772</v>
      </c>
      <c r="D451" s="33" t="s">
        <v>773</v>
      </c>
      <c r="F451" s="34">
        <v>252</v>
      </c>
      <c r="K451" s="35"/>
    </row>
    <row r="452" spans="1:76" ht="14.4" x14ac:dyDescent="0.3">
      <c r="A452" s="32"/>
      <c r="C452" s="33" t="s">
        <v>125</v>
      </c>
      <c r="D452" s="33" t="s">
        <v>774</v>
      </c>
      <c r="F452" s="34">
        <v>13</v>
      </c>
      <c r="K452" s="35"/>
    </row>
    <row r="453" spans="1:76" ht="14.4" x14ac:dyDescent="0.3">
      <c r="A453" s="2" t="s">
        <v>775</v>
      </c>
      <c r="B453" s="3" t="s">
        <v>776</v>
      </c>
      <c r="C453" s="87" t="s">
        <v>777</v>
      </c>
      <c r="D453" s="84"/>
      <c r="E453" s="3" t="s">
        <v>269</v>
      </c>
      <c r="F453" s="29">
        <v>0.85041</v>
      </c>
      <c r="G453" s="29">
        <v>0</v>
      </c>
      <c r="H453" s="29">
        <f>F453*AO453</f>
        <v>0</v>
      </c>
      <c r="I453" s="29">
        <f>F453*AP453</f>
        <v>0</v>
      </c>
      <c r="J453" s="29">
        <f>F453*G453</f>
        <v>0</v>
      </c>
      <c r="K453" s="30" t="s">
        <v>60</v>
      </c>
      <c r="Z453" s="29">
        <f>IF(AQ453="5",BJ453,0)</f>
        <v>0</v>
      </c>
      <c r="AB453" s="29">
        <f>IF(AQ453="1",BH453,0)</f>
        <v>0</v>
      </c>
      <c r="AC453" s="29">
        <f>IF(AQ453="1",BI453,0)</f>
        <v>0</v>
      </c>
      <c r="AD453" s="29">
        <f>IF(AQ453="7",BH453,0)</f>
        <v>0</v>
      </c>
      <c r="AE453" s="29">
        <f>IF(AQ453="7",BI453,0)</f>
        <v>0</v>
      </c>
      <c r="AF453" s="29">
        <f>IF(AQ453="2",BH453,0)</f>
        <v>0</v>
      </c>
      <c r="AG453" s="29">
        <f>IF(AQ453="2",BI453,0)</f>
        <v>0</v>
      </c>
      <c r="AH453" s="29">
        <f>IF(AQ453="0",BJ453,0)</f>
        <v>0</v>
      </c>
      <c r="AI453" s="11" t="s">
        <v>433</v>
      </c>
      <c r="AJ453" s="29">
        <f>IF(AN453=0,J453,0)</f>
        <v>0</v>
      </c>
      <c r="AK453" s="29">
        <f>IF(AN453=12,J453,0)</f>
        <v>0</v>
      </c>
      <c r="AL453" s="29">
        <f>IF(AN453=21,J453,0)</f>
        <v>0</v>
      </c>
      <c r="AN453" s="29">
        <v>21</v>
      </c>
      <c r="AO453" s="29">
        <f>G453*0</f>
        <v>0</v>
      </c>
      <c r="AP453" s="29">
        <f>G453*(1-0)</f>
        <v>0</v>
      </c>
      <c r="AQ453" s="31" t="s">
        <v>100</v>
      </c>
      <c r="AV453" s="29">
        <f>AW453+AX453</f>
        <v>0</v>
      </c>
      <c r="AW453" s="29">
        <f>F453*AO453</f>
        <v>0</v>
      </c>
      <c r="AX453" s="29">
        <f>F453*AP453</f>
        <v>0</v>
      </c>
      <c r="AY453" s="31" t="s">
        <v>766</v>
      </c>
      <c r="AZ453" s="31" t="s">
        <v>767</v>
      </c>
      <c r="BA453" s="11" t="s">
        <v>439</v>
      </c>
      <c r="BC453" s="29">
        <f>AW453+AX453</f>
        <v>0</v>
      </c>
      <c r="BD453" s="29">
        <f>G453/(100-BE453)*100</f>
        <v>0</v>
      </c>
      <c r="BE453" s="29">
        <v>0</v>
      </c>
      <c r="BF453" s="29">
        <f>453</f>
        <v>453</v>
      </c>
      <c r="BH453" s="29">
        <f>F453*AO453</f>
        <v>0</v>
      </c>
      <c r="BI453" s="29">
        <f>F453*AP453</f>
        <v>0</v>
      </c>
      <c r="BJ453" s="29">
        <f>F453*G453</f>
        <v>0</v>
      </c>
      <c r="BK453" s="29"/>
      <c r="BL453" s="29">
        <v>761</v>
      </c>
      <c r="BW453" s="29">
        <v>21</v>
      </c>
      <c r="BX453" s="5" t="s">
        <v>777</v>
      </c>
    </row>
    <row r="454" spans="1:76" ht="14.4" x14ac:dyDescent="0.3">
      <c r="A454" s="25" t="s">
        <v>51</v>
      </c>
      <c r="B454" s="26" t="s">
        <v>279</v>
      </c>
      <c r="C454" s="143" t="s">
        <v>280</v>
      </c>
      <c r="D454" s="144"/>
      <c r="E454" s="27" t="s">
        <v>4</v>
      </c>
      <c r="F454" s="27" t="s">
        <v>4</v>
      </c>
      <c r="G454" s="27" t="s">
        <v>4</v>
      </c>
      <c r="H454" s="1">
        <f>SUM(H455:H469)</f>
        <v>0</v>
      </c>
      <c r="I454" s="1">
        <f>SUM(I455:I469)</f>
        <v>0</v>
      </c>
      <c r="J454" s="1">
        <f>SUM(J455:J469)</f>
        <v>0</v>
      </c>
      <c r="K454" s="28" t="s">
        <v>51</v>
      </c>
      <c r="AI454" s="11" t="s">
        <v>433</v>
      </c>
      <c r="AS454" s="1">
        <f>SUM(AJ455:AJ469)</f>
        <v>0</v>
      </c>
      <c r="AT454" s="1">
        <f>SUM(AK455:AK469)</f>
        <v>0</v>
      </c>
      <c r="AU454" s="1">
        <f>SUM(AL455:AL469)</f>
        <v>0</v>
      </c>
    </row>
    <row r="455" spans="1:76" ht="14.4" x14ac:dyDescent="0.3">
      <c r="A455" s="2" t="s">
        <v>778</v>
      </c>
      <c r="B455" s="3" t="s">
        <v>779</v>
      </c>
      <c r="C455" s="87" t="s">
        <v>780</v>
      </c>
      <c r="D455" s="84"/>
      <c r="E455" s="3" t="s">
        <v>59</v>
      </c>
      <c r="F455" s="29">
        <v>557.65</v>
      </c>
      <c r="G455" s="29">
        <v>0</v>
      </c>
      <c r="H455" s="29">
        <f>F455*AO455</f>
        <v>0</v>
      </c>
      <c r="I455" s="29">
        <f>F455*AP455</f>
        <v>0</v>
      </c>
      <c r="J455" s="29">
        <f>F455*G455</f>
        <v>0</v>
      </c>
      <c r="K455" s="30" t="s">
        <v>60</v>
      </c>
      <c r="Z455" s="29">
        <f>IF(AQ455="5",BJ455,0)</f>
        <v>0</v>
      </c>
      <c r="AB455" s="29">
        <f>IF(AQ455="1",BH455,0)</f>
        <v>0</v>
      </c>
      <c r="AC455" s="29">
        <f>IF(AQ455="1",BI455,0)</f>
        <v>0</v>
      </c>
      <c r="AD455" s="29">
        <f>IF(AQ455="7",BH455,0)</f>
        <v>0</v>
      </c>
      <c r="AE455" s="29">
        <f>IF(AQ455="7",BI455,0)</f>
        <v>0</v>
      </c>
      <c r="AF455" s="29">
        <f>IF(AQ455="2",BH455,0)</f>
        <v>0</v>
      </c>
      <c r="AG455" s="29">
        <f>IF(AQ455="2",BI455,0)</f>
        <v>0</v>
      </c>
      <c r="AH455" s="29">
        <f>IF(AQ455="0",BJ455,0)</f>
        <v>0</v>
      </c>
      <c r="AI455" s="11" t="s">
        <v>433</v>
      </c>
      <c r="AJ455" s="29">
        <f>IF(AN455=0,J455,0)</f>
        <v>0</v>
      </c>
      <c r="AK455" s="29">
        <f>IF(AN455=12,J455,0)</f>
        <v>0</v>
      </c>
      <c r="AL455" s="29">
        <f>IF(AN455=21,J455,0)</f>
        <v>0</v>
      </c>
      <c r="AN455" s="29">
        <v>21</v>
      </c>
      <c r="AO455" s="29">
        <f>G455*0.035801527</f>
        <v>0</v>
      </c>
      <c r="AP455" s="29">
        <f>G455*(1-0.035801527)</f>
        <v>0</v>
      </c>
      <c r="AQ455" s="31" t="s">
        <v>117</v>
      </c>
      <c r="AV455" s="29">
        <f>AW455+AX455</f>
        <v>0</v>
      </c>
      <c r="AW455" s="29">
        <f>F455*AO455</f>
        <v>0</v>
      </c>
      <c r="AX455" s="29">
        <f>F455*AP455</f>
        <v>0</v>
      </c>
      <c r="AY455" s="31" t="s">
        <v>284</v>
      </c>
      <c r="AZ455" s="31" t="s">
        <v>767</v>
      </c>
      <c r="BA455" s="11" t="s">
        <v>439</v>
      </c>
      <c r="BC455" s="29">
        <f>AW455+AX455</f>
        <v>0</v>
      </c>
      <c r="BD455" s="29">
        <f>G455/(100-BE455)*100</f>
        <v>0</v>
      </c>
      <c r="BE455" s="29">
        <v>0</v>
      </c>
      <c r="BF455" s="29">
        <f>455</f>
        <v>455</v>
      </c>
      <c r="BH455" s="29">
        <f>F455*AO455</f>
        <v>0</v>
      </c>
      <c r="BI455" s="29">
        <f>F455*AP455</f>
        <v>0</v>
      </c>
      <c r="BJ455" s="29">
        <f>F455*G455</f>
        <v>0</v>
      </c>
      <c r="BK455" s="29"/>
      <c r="BL455" s="29">
        <v>762</v>
      </c>
      <c r="BW455" s="29">
        <v>21</v>
      </c>
      <c r="BX455" s="5" t="s">
        <v>780</v>
      </c>
    </row>
    <row r="456" spans="1:76" ht="14.4" x14ac:dyDescent="0.3">
      <c r="A456" s="32"/>
      <c r="C456" s="33" t="s">
        <v>209</v>
      </c>
      <c r="D456" s="33" t="s">
        <v>210</v>
      </c>
      <c r="F456" s="34">
        <v>182.68</v>
      </c>
      <c r="K456" s="35"/>
    </row>
    <row r="457" spans="1:76" ht="14.4" x14ac:dyDescent="0.3">
      <c r="A457" s="32"/>
      <c r="C457" s="33" t="s">
        <v>124</v>
      </c>
      <c r="D457" s="33" t="s">
        <v>211</v>
      </c>
      <c r="F457" s="34">
        <v>185.18</v>
      </c>
      <c r="K457" s="35"/>
    </row>
    <row r="458" spans="1:76" ht="14.4" x14ac:dyDescent="0.3">
      <c r="A458" s="32"/>
      <c r="C458" s="33" t="s">
        <v>212</v>
      </c>
      <c r="D458" s="33" t="s">
        <v>213</v>
      </c>
      <c r="F458" s="34">
        <v>189.79</v>
      </c>
      <c r="K458" s="35"/>
    </row>
    <row r="459" spans="1:76" ht="14.4" x14ac:dyDescent="0.3">
      <c r="A459" s="2" t="s">
        <v>781</v>
      </c>
      <c r="B459" s="3" t="s">
        <v>782</v>
      </c>
      <c r="C459" s="87" t="s">
        <v>783</v>
      </c>
      <c r="D459" s="84"/>
      <c r="E459" s="3" t="s">
        <v>59</v>
      </c>
      <c r="F459" s="29">
        <v>585.53250000000003</v>
      </c>
      <c r="G459" s="29">
        <v>0</v>
      </c>
      <c r="H459" s="29">
        <f>F459*AO459</f>
        <v>0</v>
      </c>
      <c r="I459" s="29">
        <f>F459*AP459</f>
        <v>0</v>
      </c>
      <c r="J459" s="29">
        <f>F459*G459</f>
        <v>0</v>
      </c>
      <c r="K459" s="30" t="s">
        <v>60</v>
      </c>
      <c r="Z459" s="29">
        <f>IF(AQ459="5",BJ459,0)</f>
        <v>0</v>
      </c>
      <c r="AB459" s="29">
        <f>IF(AQ459="1",BH459,0)</f>
        <v>0</v>
      </c>
      <c r="AC459" s="29">
        <f>IF(AQ459="1",BI459,0)</f>
        <v>0</v>
      </c>
      <c r="AD459" s="29">
        <f>IF(AQ459="7",BH459,0)</f>
        <v>0</v>
      </c>
      <c r="AE459" s="29">
        <f>IF(AQ459="7",BI459,0)</f>
        <v>0</v>
      </c>
      <c r="AF459" s="29">
        <f>IF(AQ459="2",BH459,0)</f>
        <v>0</v>
      </c>
      <c r="AG459" s="29">
        <f>IF(AQ459="2",BI459,0)</f>
        <v>0</v>
      </c>
      <c r="AH459" s="29">
        <f>IF(AQ459="0",BJ459,0)</f>
        <v>0</v>
      </c>
      <c r="AI459" s="11" t="s">
        <v>433</v>
      </c>
      <c r="AJ459" s="29">
        <f>IF(AN459=0,J459,0)</f>
        <v>0</v>
      </c>
      <c r="AK459" s="29">
        <f>IF(AN459=12,J459,0)</f>
        <v>0</v>
      </c>
      <c r="AL459" s="29">
        <f>IF(AN459=21,J459,0)</f>
        <v>0</v>
      </c>
      <c r="AN459" s="29">
        <v>21</v>
      </c>
      <c r="AO459" s="29">
        <f>G459*1</f>
        <v>0</v>
      </c>
      <c r="AP459" s="29">
        <f>G459*(1-1)</f>
        <v>0</v>
      </c>
      <c r="AQ459" s="31" t="s">
        <v>117</v>
      </c>
      <c r="AV459" s="29">
        <f>AW459+AX459</f>
        <v>0</v>
      </c>
      <c r="AW459" s="29">
        <f>F459*AO459</f>
        <v>0</v>
      </c>
      <c r="AX459" s="29">
        <f>F459*AP459</f>
        <v>0</v>
      </c>
      <c r="AY459" s="31" t="s">
        <v>284</v>
      </c>
      <c r="AZ459" s="31" t="s">
        <v>767</v>
      </c>
      <c r="BA459" s="11" t="s">
        <v>439</v>
      </c>
      <c r="BC459" s="29">
        <f>AW459+AX459</f>
        <v>0</v>
      </c>
      <c r="BD459" s="29">
        <f>G459/(100-BE459)*100</f>
        <v>0</v>
      </c>
      <c r="BE459" s="29">
        <v>0</v>
      </c>
      <c r="BF459" s="29">
        <f>459</f>
        <v>459</v>
      </c>
      <c r="BH459" s="29">
        <f>F459*AO459</f>
        <v>0</v>
      </c>
      <c r="BI459" s="29">
        <f>F459*AP459</f>
        <v>0</v>
      </c>
      <c r="BJ459" s="29">
        <f>F459*G459</f>
        <v>0</v>
      </c>
      <c r="BK459" s="29"/>
      <c r="BL459" s="29">
        <v>762</v>
      </c>
      <c r="BW459" s="29">
        <v>21</v>
      </c>
      <c r="BX459" s="5" t="s">
        <v>783</v>
      </c>
    </row>
    <row r="460" spans="1:76" ht="14.4" x14ac:dyDescent="0.3">
      <c r="A460" s="32"/>
      <c r="C460" s="33" t="s">
        <v>209</v>
      </c>
      <c r="D460" s="33" t="s">
        <v>210</v>
      </c>
      <c r="F460" s="34">
        <v>182.68</v>
      </c>
      <c r="K460" s="35"/>
    </row>
    <row r="461" spans="1:76" ht="14.4" x14ac:dyDescent="0.3">
      <c r="A461" s="32"/>
      <c r="C461" s="33" t="s">
        <v>124</v>
      </c>
      <c r="D461" s="33" t="s">
        <v>211</v>
      </c>
      <c r="F461" s="34">
        <v>185.18</v>
      </c>
      <c r="K461" s="35"/>
    </row>
    <row r="462" spans="1:76" ht="14.4" x14ac:dyDescent="0.3">
      <c r="A462" s="32"/>
      <c r="C462" s="33" t="s">
        <v>212</v>
      </c>
      <c r="D462" s="33" t="s">
        <v>213</v>
      </c>
      <c r="F462" s="34">
        <v>189.79</v>
      </c>
      <c r="K462" s="35"/>
    </row>
    <row r="463" spans="1:76" ht="14.4" x14ac:dyDescent="0.3">
      <c r="A463" s="32"/>
      <c r="C463" s="33" t="s">
        <v>747</v>
      </c>
      <c r="D463" s="33" t="s">
        <v>51</v>
      </c>
      <c r="F463" s="34">
        <v>27.8825</v>
      </c>
      <c r="K463" s="35"/>
    </row>
    <row r="464" spans="1:76" ht="14.4" x14ac:dyDescent="0.3">
      <c r="A464" s="2" t="s">
        <v>784</v>
      </c>
      <c r="B464" s="3" t="s">
        <v>785</v>
      </c>
      <c r="C464" s="87" t="s">
        <v>786</v>
      </c>
      <c r="D464" s="84"/>
      <c r="E464" s="3" t="s">
        <v>73</v>
      </c>
      <c r="F464" s="29">
        <v>71.94</v>
      </c>
      <c r="G464" s="29">
        <v>0</v>
      </c>
      <c r="H464" s="29">
        <f>F464*AO464</f>
        <v>0</v>
      </c>
      <c r="I464" s="29">
        <f>F464*AP464</f>
        <v>0</v>
      </c>
      <c r="J464" s="29">
        <f>F464*G464</f>
        <v>0</v>
      </c>
      <c r="K464" s="30" t="s">
        <v>60</v>
      </c>
      <c r="Z464" s="29">
        <f>IF(AQ464="5",BJ464,0)</f>
        <v>0</v>
      </c>
      <c r="AB464" s="29">
        <f>IF(AQ464="1",BH464,0)</f>
        <v>0</v>
      </c>
      <c r="AC464" s="29">
        <f>IF(AQ464="1",BI464,0)</f>
        <v>0</v>
      </c>
      <c r="AD464" s="29">
        <f>IF(AQ464="7",BH464,0)</f>
        <v>0</v>
      </c>
      <c r="AE464" s="29">
        <f>IF(AQ464="7",BI464,0)</f>
        <v>0</v>
      </c>
      <c r="AF464" s="29">
        <f>IF(AQ464="2",BH464,0)</f>
        <v>0</v>
      </c>
      <c r="AG464" s="29">
        <f>IF(AQ464="2",BI464,0)</f>
        <v>0</v>
      </c>
      <c r="AH464" s="29">
        <f>IF(AQ464="0",BJ464,0)</f>
        <v>0</v>
      </c>
      <c r="AI464" s="11" t="s">
        <v>433</v>
      </c>
      <c r="AJ464" s="29">
        <f>IF(AN464=0,J464,0)</f>
        <v>0</v>
      </c>
      <c r="AK464" s="29">
        <f>IF(AN464=12,J464,0)</f>
        <v>0</v>
      </c>
      <c r="AL464" s="29">
        <f>IF(AN464=21,J464,0)</f>
        <v>0</v>
      </c>
      <c r="AN464" s="29">
        <v>21</v>
      </c>
      <c r="AO464" s="29">
        <f>G464*0.044533333</f>
        <v>0</v>
      </c>
      <c r="AP464" s="29">
        <f>G464*(1-0.044533333)</f>
        <v>0</v>
      </c>
      <c r="AQ464" s="31" t="s">
        <v>117</v>
      </c>
      <c r="AV464" s="29">
        <f>AW464+AX464</f>
        <v>0</v>
      </c>
      <c r="AW464" s="29">
        <f>F464*AO464</f>
        <v>0</v>
      </c>
      <c r="AX464" s="29">
        <f>F464*AP464</f>
        <v>0</v>
      </c>
      <c r="AY464" s="31" t="s">
        <v>284</v>
      </c>
      <c r="AZ464" s="31" t="s">
        <v>767</v>
      </c>
      <c r="BA464" s="11" t="s">
        <v>439</v>
      </c>
      <c r="BC464" s="29">
        <f>AW464+AX464</f>
        <v>0</v>
      </c>
      <c r="BD464" s="29">
        <f>G464/(100-BE464)*100</f>
        <v>0</v>
      </c>
      <c r="BE464" s="29">
        <v>0</v>
      </c>
      <c r="BF464" s="29">
        <f>464</f>
        <v>464</v>
      </c>
      <c r="BH464" s="29">
        <f>F464*AO464</f>
        <v>0</v>
      </c>
      <c r="BI464" s="29">
        <f>F464*AP464</f>
        <v>0</v>
      </c>
      <c r="BJ464" s="29">
        <f>F464*G464</f>
        <v>0</v>
      </c>
      <c r="BK464" s="29"/>
      <c r="BL464" s="29">
        <v>762</v>
      </c>
      <c r="BW464" s="29">
        <v>21</v>
      </c>
      <c r="BX464" s="5" t="s">
        <v>786</v>
      </c>
    </row>
    <row r="465" spans="1:76" ht="14.4" x14ac:dyDescent="0.3">
      <c r="A465" s="32"/>
      <c r="C465" s="33" t="s">
        <v>787</v>
      </c>
      <c r="D465" s="33" t="s">
        <v>788</v>
      </c>
      <c r="F465" s="34">
        <v>71.94</v>
      </c>
      <c r="K465" s="35"/>
    </row>
    <row r="466" spans="1:76" ht="14.4" x14ac:dyDescent="0.3">
      <c r="A466" s="32"/>
      <c r="C466" s="33" t="s">
        <v>51</v>
      </c>
      <c r="D466" s="33" t="s">
        <v>789</v>
      </c>
      <c r="F466" s="34">
        <v>0</v>
      </c>
      <c r="K466" s="35"/>
    </row>
    <row r="467" spans="1:76" ht="14.4" x14ac:dyDescent="0.3">
      <c r="A467" s="2" t="s">
        <v>790</v>
      </c>
      <c r="B467" s="3" t="s">
        <v>791</v>
      </c>
      <c r="C467" s="87" t="s">
        <v>792</v>
      </c>
      <c r="D467" s="84"/>
      <c r="E467" s="3" t="s">
        <v>129</v>
      </c>
      <c r="F467" s="29">
        <v>0.80640000000000001</v>
      </c>
      <c r="G467" s="29">
        <v>0</v>
      </c>
      <c r="H467" s="29">
        <f>F467*AO467</f>
        <v>0</v>
      </c>
      <c r="I467" s="29">
        <f>F467*AP467</f>
        <v>0</v>
      </c>
      <c r="J467" s="29">
        <f>F467*G467</f>
        <v>0</v>
      </c>
      <c r="K467" s="30" t="s">
        <v>60</v>
      </c>
      <c r="Z467" s="29">
        <f>IF(AQ467="5",BJ467,0)</f>
        <v>0</v>
      </c>
      <c r="AB467" s="29">
        <f>IF(AQ467="1",BH467,0)</f>
        <v>0</v>
      </c>
      <c r="AC467" s="29">
        <f>IF(AQ467="1",BI467,0)</f>
        <v>0</v>
      </c>
      <c r="AD467" s="29">
        <f>IF(AQ467="7",BH467,0)</f>
        <v>0</v>
      </c>
      <c r="AE467" s="29">
        <f>IF(AQ467="7",BI467,0)</f>
        <v>0</v>
      </c>
      <c r="AF467" s="29">
        <f>IF(AQ467="2",BH467,0)</f>
        <v>0</v>
      </c>
      <c r="AG467" s="29">
        <f>IF(AQ467="2",BI467,0)</f>
        <v>0</v>
      </c>
      <c r="AH467" s="29">
        <f>IF(AQ467="0",BJ467,0)</f>
        <v>0</v>
      </c>
      <c r="AI467" s="11" t="s">
        <v>433</v>
      </c>
      <c r="AJ467" s="29">
        <f>IF(AN467=0,J467,0)</f>
        <v>0</v>
      </c>
      <c r="AK467" s="29">
        <f>IF(AN467=12,J467,0)</f>
        <v>0</v>
      </c>
      <c r="AL467" s="29">
        <f>IF(AN467=21,J467,0)</f>
        <v>0</v>
      </c>
      <c r="AN467" s="29">
        <v>21</v>
      </c>
      <c r="AO467" s="29">
        <f>G467*1</f>
        <v>0</v>
      </c>
      <c r="AP467" s="29">
        <f>G467*(1-1)</f>
        <v>0</v>
      </c>
      <c r="AQ467" s="31" t="s">
        <v>117</v>
      </c>
      <c r="AV467" s="29">
        <f>AW467+AX467</f>
        <v>0</v>
      </c>
      <c r="AW467" s="29">
        <f>F467*AO467</f>
        <v>0</v>
      </c>
      <c r="AX467" s="29">
        <f>F467*AP467</f>
        <v>0</v>
      </c>
      <c r="AY467" s="31" t="s">
        <v>284</v>
      </c>
      <c r="AZ467" s="31" t="s">
        <v>767</v>
      </c>
      <c r="BA467" s="11" t="s">
        <v>439</v>
      </c>
      <c r="BC467" s="29">
        <f>AW467+AX467</f>
        <v>0</v>
      </c>
      <c r="BD467" s="29">
        <f>G467/(100-BE467)*100</f>
        <v>0</v>
      </c>
      <c r="BE467" s="29">
        <v>0</v>
      </c>
      <c r="BF467" s="29">
        <f>467</f>
        <v>467</v>
      </c>
      <c r="BH467" s="29">
        <f>F467*AO467</f>
        <v>0</v>
      </c>
      <c r="BI467" s="29">
        <f>F467*AP467</f>
        <v>0</v>
      </c>
      <c r="BJ467" s="29">
        <f>F467*G467</f>
        <v>0</v>
      </c>
      <c r="BK467" s="29"/>
      <c r="BL467" s="29">
        <v>762</v>
      </c>
      <c r="BW467" s="29">
        <v>21</v>
      </c>
      <c r="BX467" s="5" t="s">
        <v>792</v>
      </c>
    </row>
    <row r="468" spans="1:76" ht="14.4" x14ac:dyDescent="0.3">
      <c r="A468" s="32"/>
      <c r="C468" s="33" t="s">
        <v>793</v>
      </c>
      <c r="D468" s="33" t="s">
        <v>794</v>
      </c>
      <c r="F468" s="34">
        <v>0.80640000000000001</v>
      </c>
      <c r="K468" s="35"/>
    </row>
    <row r="469" spans="1:76" ht="14.4" x14ac:dyDescent="0.3">
      <c r="A469" s="2" t="s">
        <v>795</v>
      </c>
      <c r="B469" s="3" t="s">
        <v>290</v>
      </c>
      <c r="C469" s="87" t="s">
        <v>291</v>
      </c>
      <c r="D469" s="84"/>
      <c r="E469" s="3" t="s">
        <v>269</v>
      </c>
      <c r="F469" s="29">
        <v>8.7611000000000008</v>
      </c>
      <c r="G469" s="29">
        <v>0</v>
      </c>
      <c r="H469" s="29">
        <f>F469*AO469</f>
        <v>0</v>
      </c>
      <c r="I469" s="29">
        <f>F469*AP469</f>
        <v>0</v>
      </c>
      <c r="J469" s="29">
        <f>F469*G469</f>
        <v>0</v>
      </c>
      <c r="K469" s="30" t="s">
        <v>60</v>
      </c>
      <c r="Z469" s="29">
        <f>IF(AQ469="5",BJ469,0)</f>
        <v>0</v>
      </c>
      <c r="AB469" s="29">
        <f>IF(AQ469="1",BH469,0)</f>
        <v>0</v>
      </c>
      <c r="AC469" s="29">
        <f>IF(AQ469="1",BI469,0)</f>
        <v>0</v>
      </c>
      <c r="AD469" s="29">
        <f>IF(AQ469="7",BH469,0)</f>
        <v>0</v>
      </c>
      <c r="AE469" s="29">
        <f>IF(AQ469="7",BI469,0)</f>
        <v>0</v>
      </c>
      <c r="AF469" s="29">
        <f>IF(AQ469="2",BH469,0)</f>
        <v>0</v>
      </c>
      <c r="AG469" s="29">
        <f>IF(AQ469="2",BI469,0)</f>
        <v>0</v>
      </c>
      <c r="AH469" s="29">
        <f>IF(AQ469="0",BJ469,0)</f>
        <v>0</v>
      </c>
      <c r="AI469" s="11" t="s">
        <v>433</v>
      </c>
      <c r="AJ469" s="29">
        <f>IF(AN469=0,J469,0)</f>
        <v>0</v>
      </c>
      <c r="AK469" s="29">
        <f>IF(AN469=12,J469,0)</f>
        <v>0</v>
      </c>
      <c r="AL469" s="29">
        <f>IF(AN469=21,J469,0)</f>
        <v>0</v>
      </c>
      <c r="AN469" s="29">
        <v>21</v>
      </c>
      <c r="AO469" s="29">
        <f>G469*0</f>
        <v>0</v>
      </c>
      <c r="AP469" s="29">
        <f>G469*(1-0)</f>
        <v>0</v>
      </c>
      <c r="AQ469" s="31" t="s">
        <v>100</v>
      </c>
      <c r="AV469" s="29">
        <f>AW469+AX469</f>
        <v>0</v>
      </c>
      <c r="AW469" s="29">
        <f>F469*AO469</f>
        <v>0</v>
      </c>
      <c r="AX469" s="29">
        <f>F469*AP469</f>
        <v>0</v>
      </c>
      <c r="AY469" s="31" t="s">
        <v>284</v>
      </c>
      <c r="AZ469" s="31" t="s">
        <v>767</v>
      </c>
      <c r="BA469" s="11" t="s">
        <v>439</v>
      </c>
      <c r="BC469" s="29">
        <f>AW469+AX469</f>
        <v>0</v>
      </c>
      <c r="BD469" s="29">
        <f>G469/(100-BE469)*100</f>
        <v>0</v>
      </c>
      <c r="BE469" s="29">
        <v>0</v>
      </c>
      <c r="BF469" s="29">
        <f>469</f>
        <v>469</v>
      </c>
      <c r="BH469" s="29">
        <f>F469*AO469</f>
        <v>0</v>
      </c>
      <c r="BI469" s="29">
        <f>F469*AP469</f>
        <v>0</v>
      </c>
      <c r="BJ469" s="29">
        <f>F469*G469</f>
        <v>0</v>
      </c>
      <c r="BK469" s="29"/>
      <c r="BL469" s="29">
        <v>762</v>
      </c>
      <c r="BW469" s="29">
        <v>21</v>
      </c>
      <c r="BX469" s="5" t="s">
        <v>291</v>
      </c>
    </row>
    <row r="470" spans="1:76" ht="14.4" x14ac:dyDescent="0.3">
      <c r="A470" s="25" t="s">
        <v>51</v>
      </c>
      <c r="B470" s="26" t="s">
        <v>292</v>
      </c>
      <c r="C470" s="143" t="s">
        <v>293</v>
      </c>
      <c r="D470" s="144"/>
      <c r="E470" s="27" t="s">
        <v>4</v>
      </c>
      <c r="F470" s="27" t="s">
        <v>4</v>
      </c>
      <c r="G470" s="27" t="s">
        <v>4</v>
      </c>
      <c r="H470" s="1">
        <f>SUM(H471:H487)</f>
        <v>0</v>
      </c>
      <c r="I470" s="1">
        <f>SUM(I471:I487)</f>
        <v>0</v>
      </c>
      <c r="J470" s="1">
        <f>SUM(J471:J487)</f>
        <v>0</v>
      </c>
      <c r="K470" s="28" t="s">
        <v>51</v>
      </c>
      <c r="AI470" s="11" t="s">
        <v>433</v>
      </c>
      <c r="AS470" s="1">
        <f>SUM(AJ471:AJ487)</f>
        <v>0</v>
      </c>
      <c r="AT470" s="1">
        <f>SUM(AK471:AK487)</f>
        <v>0</v>
      </c>
      <c r="AU470" s="1">
        <f>SUM(AL471:AL487)</f>
        <v>0</v>
      </c>
    </row>
    <row r="471" spans="1:76" ht="26.4" x14ac:dyDescent="0.3">
      <c r="A471" s="2" t="s">
        <v>796</v>
      </c>
      <c r="B471" s="3" t="s">
        <v>797</v>
      </c>
      <c r="C471" s="87" t="s">
        <v>798</v>
      </c>
      <c r="D471" s="84"/>
      <c r="E471" s="3" t="s">
        <v>59</v>
      </c>
      <c r="F471" s="29">
        <v>654</v>
      </c>
      <c r="G471" s="29">
        <v>0</v>
      </c>
      <c r="H471" s="29">
        <f>F471*AO471</f>
        <v>0</v>
      </c>
      <c r="I471" s="29">
        <f>F471*AP471</f>
        <v>0</v>
      </c>
      <c r="J471" s="29">
        <f>F471*G471</f>
        <v>0</v>
      </c>
      <c r="K471" s="30" t="s">
        <v>60</v>
      </c>
      <c r="Z471" s="29">
        <f>IF(AQ471="5",BJ471,0)</f>
        <v>0</v>
      </c>
      <c r="AB471" s="29">
        <f>IF(AQ471="1",BH471,0)</f>
        <v>0</v>
      </c>
      <c r="AC471" s="29">
        <f>IF(AQ471="1",BI471,0)</f>
        <v>0</v>
      </c>
      <c r="AD471" s="29">
        <f>IF(AQ471="7",BH471,0)</f>
        <v>0</v>
      </c>
      <c r="AE471" s="29">
        <f>IF(AQ471="7",BI471,0)</f>
        <v>0</v>
      </c>
      <c r="AF471" s="29">
        <f>IF(AQ471="2",BH471,0)</f>
        <v>0</v>
      </c>
      <c r="AG471" s="29">
        <f>IF(AQ471="2",BI471,0)</f>
        <v>0</v>
      </c>
      <c r="AH471" s="29">
        <f>IF(AQ471="0",BJ471,0)</f>
        <v>0</v>
      </c>
      <c r="AI471" s="11" t="s">
        <v>433</v>
      </c>
      <c r="AJ471" s="29">
        <f>IF(AN471=0,J471,0)</f>
        <v>0</v>
      </c>
      <c r="AK471" s="29">
        <f>IF(AN471=12,J471,0)</f>
        <v>0</v>
      </c>
      <c r="AL471" s="29">
        <f>IF(AN471=21,J471,0)</f>
        <v>0</v>
      </c>
      <c r="AN471" s="29">
        <v>21</v>
      </c>
      <c r="AO471" s="29">
        <f>G471*0.29005171</f>
        <v>0</v>
      </c>
      <c r="AP471" s="29">
        <f>G471*(1-0.29005171)</f>
        <v>0</v>
      </c>
      <c r="AQ471" s="31" t="s">
        <v>117</v>
      </c>
      <c r="AV471" s="29">
        <f>AW471+AX471</f>
        <v>0</v>
      </c>
      <c r="AW471" s="29">
        <f>F471*AO471</f>
        <v>0</v>
      </c>
      <c r="AX471" s="29">
        <f>F471*AP471</f>
        <v>0</v>
      </c>
      <c r="AY471" s="31" t="s">
        <v>297</v>
      </c>
      <c r="AZ471" s="31" t="s">
        <v>767</v>
      </c>
      <c r="BA471" s="11" t="s">
        <v>439</v>
      </c>
      <c r="BC471" s="29">
        <f>AW471+AX471</f>
        <v>0</v>
      </c>
      <c r="BD471" s="29">
        <f>G471/(100-BE471)*100</f>
        <v>0</v>
      </c>
      <c r="BE471" s="29">
        <v>0</v>
      </c>
      <c r="BF471" s="29">
        <f>471</f>
        <v>471</v>
      </c>
      <c r="BH471" s="29">
        <f>F471*AO471</f>
        <v>0</v>
      </c>
      <c r="BI471" s="29">
        <f>F471*AP471</f>
        <v>0</v>
      </c>
      <c r="BJ471" s="29">
        <f>F471*G471</f>
        <v>0</v>
      </c>
      <c r="BK471" s="29"/>
      <c r="BL471" s="29">
        <v>764</v>
      </c>
      <c r="BW471" s="29">
        <v>21</v>
      </c>
      <c r="BX471" s="5" t="s">
        <v>798</v>
      </c>
    </row>
    <row r="472" spans="1:76" ht="14.4" x14ac:dyDescent="0.3">
      <c r="A472" s="32"/>
      <c r="C472" s="33" t="s">
        <v>320</v>
      </c>
      <c r="D472" s="33" t="s">
        <v>51</v>
      </c>
      <c r="F472" s="34">
        <v>327</v>
      </c>
      <c r="K472" s="35"/>
    </row>
    <row r="473" spans="1:76" ht="14.4" x14ac:dyDescent="0.3">
      <c r="A473" s="32"/>
      <c r="C473" s="33" t="s">
        <v>320</v>
      </c>
      <c r="D473" s="33" t="s">
        <v>51</v>
      </c>
      <c r="F473" s="34">
        <v>327</v>
      </c>
      <c r="K473" s="35"/>
    </row>
    <row r="474" spans="1:76" ht="26.4" x14ac:dyDescent="0.3">
      <c r="A474" s="2" t="s">
        <v>799</v>
      </c>
      <c r="B474" s="3" t="s">
        <v>800</v>
      </c>
      <c r="C474" s="87" t="s">
        <v>801</v>
      </c>
      <c r="D474" s="84"/>
      <c r="E474" s="3" t="s">
        <v>73</v>
      </c>
      <c r="F474" s="29">
        <v>7.2</v>
      </c>
      <c r="G474" s="29">
        <v>0</v>
      </c>
      <c r="H474" s="29">
        <f>F474*AO474</f>
        <v>0</v>
      </c>
      <c r="I474" s="29">
        <f>F474*AP474</f>
        <v>0</v>
      </c>
      <c r="J474" s="29">
        <f>F474*G474</f>
        <v>0</v>
      </c>
      <c r="K474" s="30" t="s">
        <v>250</v>
      </c>
      <c r="Z474" s="29">
        <f>IF(AQ474="5",BJ474,0)</f>
        <v>0</v>
      </c>
      <c r="AB474" s="29">
        <f>IF(AQ474="1",BH474,0)</f>
        <v>0</v>
      </c>
      <c r="AC474" s="29">
        <f>IF(AQ474="1",BI474,0)</f>
        <v>0</v>
      </c>
      <c r="AD474" s="29">
        <f>IF(AQ474="7",BH474,0)</f>
        <v>0</v>
      </c>
      <c r="AE474" s="29">
        <f>IF(AQ474="7",BI474,0)</f>
        <v>0</v>
      </c>
      <c r="AF474" s="29">
        <f>IF(AQ474="2",BH474,0)</f>
        <v>0</v>
      </c>
      <c r="AG474" s="29">
        <f>IF(AQ474="2",BI474,0)</f>
        <v>0</v>
      </c>
      <c r="AH474" s="29">
        <f>IF(AQ474="0",BJ474,0)</f>
        <v>0</v>
      </c>
      <c r="AI474" s="11" t="s">
        <v>433</v>
      </c>
      <c r="AJ474" s="29">
        <f>IF(AN474=0,J474,0)</f>
        <v>0</v>
      </c>
      <c r="AK474" s="29">
        <f>IF(AN474=12,J474,0)</f>
        <v>0</v>
      </c>
      <c r="AL474" s="29">
        <f>IF(AN474=21,J474,0)</f>
        <v>0</v>
      </c>
      <c r="AN474" s="29">
        <v>21</v>
      </c>
      <c r="AO474" s="29">
        <f>G474*0.74551263</f>
        <v>0</v>
      </c>
      <c r="AP474" s="29">
        <f>G474*(1-0.74551263)</f>
        <v>0</v>
      </c>
      <c r="AQ474" s="31" t="s">
        <v>117</v>
      </c>
      <c r="AV474" s="29">
        <f>AW474+AX474</f>
        <v>0</v>
      </c>
      <c r="AW474" s="29">
        <f>F474*AO474</f>
        <v>0</v>
      </c>
      <c r="AX474" s="29">
        <f>F474*AP474</f>
        <v>0</v>
      </c>
      <c r="AY474" s="31" t="s">
        <v>297</v>
      </c>
      <c r="AZ474" s="31" t="s">
        <v>767</v>
      </c>
      <c r="BA474" s="11" t="s">
        <v>439</v>
      </c>
      <c r="BC474" s="29">
        <f>AW474+AX474</f>
        <v>0</v>
      </c>
      <c r="BD474" s="29">
        <f>G474/(100-BE474)*100</f>
        <v>0</v>
      </c>
      <c r="BE474" s="29">
        <v>0</v>
      </c>
      <c r="BF474" s="29">
        <f>474</f>
        <v>474</v>
      </c>
      <c r="BH474" s="29">
        <f>F474*AO474</f>
        <v>0</v>
      </c>
      <c r="BI474" s="29">
        <f>F474*AP474</f>
        <v>0</v>
      </c>
      <c r="BJ474" s="29">
        <f>F474*G474</f>
        <v>0</v>
      </c>
      <c r="BK474" s="29"/>
      <c r="BL474" s="29">
        <v>764</v>
      </c>
      <c r="BW474" s="29">
        <v>21</v>
      </c>
      <c r="BX474" s="5" t="s">
        <v>801</v>
      </c>
    </row>
    <row r="475" spans="1:76" ht="14.4" x14ac:dyDescent="0.3">
      <c r="A475" s="32"/>
      <c r="C475" s="33" t="s">
        <v>298</v>
      </c>
      <c r="D475" s="33" t="s">
        <v>768</v>
      </c>
      <c r="F475" s="34">
        <v>7.2</v>
      </c>
      <c r="K475" s="35"/>
    </row>
    <row r="476" spans="1:76" ht="26.4" x14ac:dyDescent="0.3">
      <c r="A476" s="2" t="s">
        <v>802</v>
      </c>
      <c r="B476" s="3" t="s">
        <v>803</v>
      </c>
      <c r="C476" s="87" t="s">
        <v>804</v>
      </c>
      <c r="D476" s="84"/>
      <c r="E476" s="3" t="s">
        <v>73</v>
      </c>
      <c r="F476" s="29">
        <v>32.5</v>
      </c>
      <c r="G476" s="29">
        <v>0</v>
      </c>
      <c r="H476" s="29">
        <f>F476*AO476</f>
        <v>0</v>
      </c>
      <c r="I476" s="29">
        <f>F476*AP476</f>
        <v>0</v>
      </c>
      <c r="J476" s="29">
        <f>F476*G476</f>
        <v>0</v>
      </c>
      <c r="K476" s="30" t="s">
        <v>60</v>
      </c>
      <c r="Z476" s="29">
        <f>IF(AQ476="5",BJ476,0)</f>
        <v>0</v>
      </c>
      <c r="AB476" s="29">
        <f>IF(AQ476="1",BH476,0)</f>
        <v>0</v>
      </c>
      <c r="AC476" s="29">
        <f>IF(AQ476="1",BI476,0)</f>
        <v>0</v>
      </c>
      <c r="AD476" s="29">
        <f>IF(AQ476="7",BH476,0)</f>
        <v>0</v>
      </c>
      <c r="AE476" s="29">
        <f>IF(AQ476="7",BI476,0)</f>
        <v>0</v>
      </c>
      <c r="AF476" s="29">
        <f>IF(AQ476="2",BH476,0)</f>
        <v>0</v>
      </c>
      <c r="AG476" s="29">
        <f>IF(AQ476="2",BI476,0)</f>
        <v>0</v>
      </c>
      <c r="AH476" s="29">
        <f>IF(AQ476="0",BJ476,0)</f>
        <v>0</v>
      </c>
      <c r="AI476" s="11" t="s">
        <v>433</v>
      </c>
      <c r="AJ476" s="29">
        <f>IF(AN476=0,J476,0)</f>
        <v>0</v>
      </c>
      <c r="AK476" s="29">
        <f>IF(AN476=12,J476,0)</f>
        <v>0</v>
      </c>
      <c r="AL476" s="29">
        <f>IF(AN476=21,J476,0)</f>
        <v>0</v>
      </c>
      <c r="AN476" s="29">
        <v>21</v>
      </c>
      <c r="AO476" s="29">
        <f>G476*0.566077268</f>
        <v>0</v>
      </c>
      <c r="AP476" s="29">
        <f>G476*(1-0.566077268)</f>
        <v>0</v>
      </c>
      <c r="AQ476" s="31" t="s">
        <v>117</v>
      </c>
      <c r="AV476" s="29">
        <f>AW476+AX476</f>
        <v>0</v>
      </c>
      <c r="AW476" s="29">
        <f>F476*AO476</f>
        <v>0</v>
      </c>
      <c r="AX476" s="29">
        <f>F476*AP476</f>
        <v>0</v>
      </c>
      <c r="AY476" s="31" t="s">
        <v>297</v>
      </c>
      <c r="AZ476" s="31" t="s">
        <v>767</v>
      </c>
      <c r="BA476" s="11" t="s">
        <v>439</v>
      </c>
      <c r="BC476" s="29">
        <f>AW476+AX476</f>
        <v>0</v>
      </c>
      <c r="BD476" s="29">
        <f>G476/(100-BE476)*100</f>
        <v>0</v>
      </c>
      <c r="BE476" s="29">
        <v>0</v>
      </c>
      <c r="BF476" s="29">
        <f>476</f>
        <v>476</v>
      </c>
      <c r="BH476" s="29">
        <f>F476*AO476</f>
        <v>0</v>
      </c>
      <c r="BI476" s="29">
        <f>F476*AP476</f>
        <v>0</v>
      </c>
      <c r="BJ476" s="29">
        <f>F476*G476</f>
        <v>0</v>
      </c>
      <c r="BK476" s="29"/>
      <c r="BL476" s="29">
        <v>764</v>
      </c>
      <c r="BW476" s="29">
        <v>21</v>
      </c>
      <c r="BX476" s="5" t="s">
        <v>804</v>
      </c>
    </row>
    <row r="477" spans="1:76" ht="14.4" x14ac:dyDescent="0.3">
      <c r="A477" s="32"/>
      <c r="C477" s="33" t="s">
        <v>805</v>
      </c>
      <c r="D477" s="33" t="s">
        <v>51</v>
      </c>
      <c r="F477" s="34">
        <v>32.5</v>
      </c>
      <c r="K477" s="35"/>
    </row>
    <row r="478" spans="1:76" ht="14.4" x14ac:dyDescent="0.3">
      <c r="A478" s="2" t="s">
        <v>806</v>
      </c>
      <c r="B478" s="3" t="s">
        <v>807</v>
      </c>
      <c r="C478" s="87" t="s">
        <v>808</v>
      </c>
      <c r="D478" s="84"/>
      <c r="E478" s="3" t="s">
        <v>73</v>
      </c>
      <c r="F478" s="29">
        <v>65</v>
      </c>
      <c r="G478" s="29">
        <v>0</v>
      </c>
      <c r="H478" s="29">
        <f>F478*AO478</f>
        <v>0</v>
      </c>
      <c r="I478" s="29">
        <f>F478*AP478</f>
        <v>0</v>
      </c>
      <c r="J478" s="29">
        <f>F478*G478</f>
        <v>0</v>
      </c>
      <c r="K478" s="30" t="s">
        <v>250</v>
      </c>
      <c r="Z478" s="29">
        <f>IF(AQ478="5",BJ478,0)</f>
        <v>0</v>
      </c>
      <c r="AB478" s="29">
        <f>IF(AQ478="1",BH478,0)</f>
        <v>0</v>
      </c>
      <c r="AC478" s="29">
        <f>IF(AQ478="1",BI478,0)</f>
        <v>0</v>
      </c>
      <c r="AD478" s="29">
        <f>IF(AQ478="7",BH478,0)</f>
        <v>0</v>
      </c>
      <c r="AE478" s="29">
        <f>IF(AQ478="7",BI478,0)</f>
        <v>0</v>
      </c>
      <c r="AF478" s="29">
        <f>IF(AQ478="2",BH478,0)</f>
        <v>0</v>
      </c>
      <c r="AG478" s="29">
        <f>IF(AQ478="2",BI478,0)</f>
        <v>0</v>
      </c>
      <c r="AH478" s="29">
        <f>IF(AQ478="0",BJ478,0)</f>
        <v>0</v>
      </c>
      <c r="AI478" s="11" t="s">
        <v>433</v>
      </c>
      <c r="AJ478" s="29">
        <f>IF(AN478=0,J478,0)</f>
        <v>0</v>
      </c>
      <c r="AK478" s="29">
        <f>IF(AN478=12,J478,0)</f>
        <v>0</v>
      </c>
      <c r="AL478" s="29">
        <f>IF(AN478=21,J478,0)</f>
        <v>0</v>
      </c>
      <c r="AN478" s="29">
        <v>21</v>
      </c>
      <c r="AO478" s="29">
        <f>G478*0.444420742</f>
        <v>0</v>
      </c>
      <c r="AP478" s="29">
        <f>G478*(1-0.444420742)</f>
        <v>0</v>
      </c>
      <c r="AQ478" s="31" t="s">
        <v>117</v>
      </c>
      <c r="AV478" s="29">
        <f>AW478+AX478</f>
        <v>0</v>
      </c>
      <c r="AW478" s="29">
        <f>F478*AO478</f>
        <v>0</v>
      </c>
      <c r="AX478" s="29">
        <f>F478*AP478</f>
        <v>0</v>
      </c>
      <c r="AY478" s="31" t="s">
        <v>297</v>
      </c>
      <c r="AZ478" s="31" t="s">
        <v>767</v>
      </c>
      <c r="BA478" s="11" t="s">
        <v>439</v>
      </c>
      <c r="BC478" s="29">
        <f>AW478+AX478</f>
        <v>0</v>
      </c>
      <c r="BD478" s="29">
        <f>G478/(100-BE478)*100</f>
        <v>0</v>
      </c>
      <c r="BE478" s="29">
        <v>0</v>
      </c>
      <c r="BF478" s="29">
        <f>478</f>
        <v>478</v>
      </c>
      <c r="BH478" s="29">
        <f>F478*AO478</f>
        <v>0</v>
      </c>
      <c r="BI478" s="29">
        <f>F478*AP478</f>
        <v>0</v>
      </c>
      <c r="BJ478" s="29">
        <f>F478*G478</f>
        <v>0</v>
      </c>
      <c r="BK478" s="29"/>
      <c r="BL478" s="29">
        <v>764</v>
      </c>
      <c r="BW478" s="29">
        <v>21</v>
      </c>
      <c r="BX478" s="5" t="s">
        <v>808</v>
      </c>
    </row>
    <row r="479" spans="1:76" ht="14.4" x14ac:dyDescent="0.3">
      <c r="A479" s="32"/>
      <c r="C479" s="33" t="s">
        <v>809</v>
      </c>
      <c r="D479" s="33" t="s">
        <v>810</v>
      </c>
      <c r="F479" s="34">
        <v>65</v>
      </c>
      <c r="K479" s="35"/>
    </row>
    <row r="480" spans="1:76" ht="26.4" x14ac:dyDescent="0.3">
      <c r="A480" s="2" t="s">
        <v>811</v>
      </c>
      <c r="B480" s="3" t="s">
        <v>812</v>
      </c>
      <c r="C480" s="87" t="s">
        <v>813</v>
      </c>
      <c r="D480" s="84"/>
      <c r="E480" s="3" t="s">
        <v>73</v>
      </c>
      <c r="F480" s="29">
        <v>19.98</v>
      </c>
      <c r="G480" s="29">
        <v>0</v>
      </c>
      <c r="H480" s="29">
        <f>F480*AO480</f>
        <v>0</v>
      </c>
      <c r="I480" s="29">
        <f>F480*AP480</f>
        <v>0</v>
      </c>
      <c r="J480" s="29">
        <f>F480*G480</f>
        <v>0</v>
      </c>
      <c r="K480" s="30" t="s">
        <v>60</v>
      </c>
      <c r="Z480" s="29">
        <f>IF(AQ480="5",BJ480,0)</f>
        <v>0</v>
      </c>
      <c r="AB480" s="29">
        <f>IF(AQ480="1",BH480,0)</f>
        <v>0</v>
      </c>
      <c r="AC480" s="29">
        <f>IF(AQ480="1",BI480,0)</f>
        <v>0</v>
      </c>
      <c r="AD480" s="29">
        <f>IF(AQ480="7",BH480,0)</f>
        <v>0</v>
      </c>
      <c r="AE480" s="29">
        <f>IF(AQ480="7",BI480,0)</f>
        <v>0</v>
      </c>
      <c r="AF480" s="29">
        <f>IF(AQ480="2",BH480,0)</f>
        <v>0</v>
      </c>
      <c r="AG480" s="29">
        <f>IF(AQ480="2",BI480,0)</f>
        <v>0</v>
      </c>
      <c r="AH480" s="29">
        <f>IF(AQ480="0",BJ480,0)</f>
        <v>0</v>
      </c>
      <c r="AI480" s="11" t="s">
        <v>433</v>
      </c>
      <c r="AJ480" s="29">
        <f>IF(AN480=0,J480,0)</f>
        <v>0</v>
      </c>
      <c r="AK480" s="29">
        <f>IF(AN480=12,J480,0)</f>
        <v>0</v>
      </c>
      <c r="AL480" s="29">
        <f>IF(AN480=21,J480,0)</f>
        <v>0</v>
      </c>
      <c r="AN480" s="29">
        <v>21</v>
      </c>
      <c r="AO480" s="29">
        <f>G480*0.184318618</f>
        <v>0</v>
      </c>
      <c r="AP480" s="29">
        <f>G480*(1-0.184318618)</f>
        <v>0</v>
      </c>
      <c r="AQ480" s="31" t="s">
        <v>117</v>
      </c>
      <c r="AV480" s="29">
        <f>AW480+AX480</f>
        <v>0</v>
      </c>
      <c r="AW480" s="29">
        <f>F480*AO480</f>
        <v>0</v>
      </c>
      <c r="AX480" s="29">
        <f>F480*AP480</f>
        <v>0</v>
      </c>
      <c r="AY480" s="31" t="s">
        <v>297</v>
      </c>
      <c r="AZ480" s="31" t="s">
        <v>767</v>
      </c>
      <c r="BA480" s="11" t="s">
        <v>439</v>
      </c>
      <c r="BC480" s="29">
        <f>AW480+AX480</f>
        <v>0</v>
      </c>
      <c r="BD480" s="29">
        <f>G480/(100-BE480)*100</f>
        <v>0</v>
      </c>
      <c r="BE480" s="29">
        <v>0</v>
      </c>
      <c r="BF480" s="29">
        <f>480</f>
        <v>480</v>
      </c>
      <c r="BH480" s="29">
        <f>F480*AO480</f>
        <v>0</v>
      </c>
      <c r="BI480" s="29">
        <f>F480*AP480</f>
        <v>0</v>
      </c>
      <c r="BJ480" s="29">
        <f>F480*G480</f>
        <v>0</v>
      </c>
      <c r="BK480" s="29"/>
      <c r="BL480" s="29">
        <v>764</v>
      </c>
      <c r="BW480" s="29">
        <v>21</v>
      </c>
      <c r="BX480" s="5" t="s">
        <v>813</v>
      </c>
    </row>
    <row r="481" spans="1:76" ht="14.4" x14ac:dyDescent="0.3">
      <c r="A481" s="32"/>
      <c r="C481" s="33" t="s">
        <v>814</v>
      </c>
      <c r="D481" s="33" t="s">
        <v>810</v>
      </c>
      <c r="F481" s="34">
        <v>19.98</v>
      </c>
      <c r="K481" s="35"/>
    </row>
    <row r="482" spans="1:76" ht="26.4" x14ac:dyDescent="0.3">
      <c r="A482" s="2" t="s">
        <v>815</v>
      </c>
      <c r="B482" s="3" t="s">
        <v>816</v>
      </c>
      <c r="C482" s="87" t="s">
        <v>817</v>
      </c>
      <c r="D482" s="84"/>
      <c r="E482" s="3" t="s">
        <v>73</v>
      </c>
      <c r="F482" s="29">
        <v>65.400000000000006</v>
      </c>
      <c r="G482" s="29">
        <v>0</v>
      </c>
      <c r="H482" s="29">
        <f>F482*AO482</f>
        <v>0</v>
      </c>
      <c r="I482" s="29">
        <f>F482*AP482</f>
        <v>0</v>
      </c>
      <c r="J482" s="29">
        <f>F482*G482</f>
        <v>0</v>
      </c>
      <c r="K482" s="30" t="s">
        <v>60</v>
      </c>
      <c r="Z482" s="29">
        <f>IF(AQ482="5",BJ482,0)</f>
        <v>0</v>
      </c>
      <c r="AB482" s="29">
        <f>IF(AQ482="1",BH482,0)</f>
        <v>0</v>
      </c>
      <c r="AC482" s="29">
        <f>IF(AQ482="1",BI482,0)</f>
        <v>0</v>
      </c>
      <c r="AD482" s="29">
        <f>IF(AQ482="7",BH482,0)</f>
        <v>0</v>
      </c>
      <c r="AE482" s="29">
        <f>IF(AQ482="7",BI482,0)</f>
        <v>0</v>
      </c>
      <c r="AF482" s="29">
        <f>IF(AQ482="2",BH482,0)</f>
        <v>0</v>
      </c>
      <c r="AG482" s="29">
        <f>IF(AQ482="2",BI482,0)</f>
        <v>0</v>
      </c>
      <c r="AH482" s="29">
        <f>IF(AQ482="0",BJ482,0)</f>
        <v>0</v>
      </c>
      <c r="AI482" s="11" t="s">
        <v>433</v>
      </c>
      <c r="AJ482" s="29">
        <f>IF(AN482=0,J482,0)</f>
        <v>0</v>
      </c>
      <c r="AK482" s="29">
        <f>IF(AN482=12,J482,0)</f>
        <v>0</v>
      </c>
      <c r="AL482" s="29">
        <f>IF(AN482=21,J482,0)</f>
        <v>0</v>
      </c>
      <c r="AN482" s="29">
        <v>21</v>
      </c>
      <c r="AO482" s="29">
        <f>G482*0.74734743</f>
        <v>0</v>
      </c>
      <c r="AP482" s="29">
        <f>G482*(1-0.74734743)</f>
        <v>0</v>
      </c>
      <c r="AQ482" s="31" t="s">
        <v>117</v>
      </c>
      <c r="AV482" s="29">
        <f>AW482+AX482</f>
        <v>0</v>
      </c>
      <c r="AW482" s="29">
        <f>F482*AO482</f>
        <v>0</v>
      </c>
      <c r="AX482" s="29">
        <f>F482*AP482</f>
        <v>0</v>
      </c>
      <c r="AY482" s="31" t="s">
        <v>297</v>
      </c>
      <c r="AZ482" s="31" t="s">
        <v>767</v>
      </c>
      <c r="BA482" s="11" t="s">
        <v>439</v>
      </c>
      <c r="BC482" s="29">
        <f>AW482+AX482</f>
        <v>0</v>
      </c>
      <c r="BD482" s="29">
        <f>G482/(100-BE482)*100</f>
        <v>0</v>
      </c>
      <c r="BE482" s="29">
        <v>0</v>
      </c>
      <c r="BF482" s="29">
        <f>482</f>
        <v>482</v>
      </c>
      <c r="BH482" s="29">
        <f>F482*AO482</f>
        <v>0</v>
      </c>
      <c r="BI482" s="29">
        <f>F482*AP482</f>
        <v>0</v>
      </c>
      <c r="BJ482" s="29">
        <f>F482*G482</f>
        <v>0</v>
      </c>
      <c r="BK482" s="29"/>
      <c r="BL482" s="29">
        <v>764</v>
      </c>
      <c r="BW482" s="29">
        <v>21</v>
      </c>
      <c r="BX482" s="5" t="s">
        <v>817</v>
      </c>
    </row>
    <row r="483" spans="1:76" ht="14.4" x14ac:dyDescent="0.3">
      <c r="A483" s="32"/>
      <c r="C483" s="33" t="s">
        <v>818</v>
      </c>
      <c r="D483" s="33" t="s">
        <v>768</v>
      </c>
      <c r="F483" s="34">
        <v>65.400000000000006</v>
      </c>
      <c r="K483" s="35"/>
    </row>
    <row r="484" spans="1:76" ht="26.4" x14ac:dyDescent="0.3">
      <c r="A484" s="2" t="s">
        <v>819</v>
      </c>
      <c r="B484" s="3" t="s">
        <v>820</v>
      </c>
      <c r="C484" s="87" t="s">
        <v>821</v>
      </c>
      <c r="D484" s="84"/>
      <c r="E484" s="3" t="s">
        <v>73</v>
      </c>
      <c r="F484" s="29">
        <v>4.5</v>
      </c>
      <c r="G484" s="29">
        <v>0</v>
      </c>
      <c r="H484" s="29">
        <f>F484*AO484</f>
        <v>0</v>
      </c>
      <c r="I484" s="29">
        <f>F484*AP484</f>
        <v>0</v>
      </c>
      <c r="J484" s="29">
        <f>F484*G484</f>
        <v>0</v>
      </c>
      <c r="K484" s="30" t="s">
        <v>60</v>
      </c>
      <c r="Z484" s="29">
        <f>IF(AQ484="5",BJ484,0)</f>
        <v>0</v>
      </c>
      <c r="AB484" s="29">
        <f>IF(AQ484="1",BH484,0)</f>
        <v>0</v>
      </c>
      <c r="AC484" s="29">
        <f>IF(AQ484="1",BI484,0)</f>
        <v>0</v>
      </c>
      <c r="AD484" s="29">
        <f>IF(AQ484="7",BH484,0)</f>
        <v>0</v>
      </c>
      <c r="AE484" s="29">
        <f>IF(AQ484="7",BI484,0)</f>
        <v>0</v>
      </c>
      <c r="AF484" s="29">
        <f>IF(AQ484="2",BH484,0)</f>
        <v>0</v>
      </c>
      <c r="AG484" s="29">
        <f>IF(AQ484="2",BI484,0)</f>
        <v>0</v>
      </c>
      <c r="AH484" s="29">
        <f>IF(AQ484="0",BJ484,0)</f>
        <v>0</v>
      </c>
      <c r="AI484" s="11" t="s">
        <v>433</v>
      </c>
      <c r="AJ484" s="29">
        <f>IF(AN484=0,J484,0)</f>
        <v>0</v>
      </c>
      <c r="AK484" s="29">
        <f>IF(AN484=12,J484,0)</f>
        <v>0</v>
      </c>
      <c r="AL484" s="29">
        <f>IF(AN484=21,J484,0)</f>
        <v>0</v>
      </c>
      <c r="AN484" s="29">
        <v>21</v>
      </c>
      <c r="AO484" s="29">
        <f>G484*0.81728482</f>
        <v>0</v>
      </c>
      <c r="AP484" s="29">
        <f>G484*(1-0.81728482)</f>
        <v>0</v>
      </c>
      <c r="AQ484" s="31" t="s">
        <v>117</v>
      </c>
      <c r="AV484" s="29">
        <f>AW484+AX484</f>
        <v>0</v>
      </c>
      <c r="AW484" s="29">
        <f>F484*AO484</f>
        <v>0</v>
      </c>
      <c r="AX484" s="29">
        <f>F484*AP484</f>
        <v>0</v>
      </c>
      <c r="AY484" s="31" t="s">
        <v>297</v>
      </c>
      <c r="AZ484" s="31" t="s">
        <v>767</v>
      </c>
      <c r="BA484" s="11" t="s">
        <v>439</v>
      </c>
      <c r="BC484" s="29">
        <f>AW484+AX484</f>
        <v>0</v>
      </c>
      <c r="BD484" s="29">
        <f>G484/(100-BE484)*100</f>
        <v>0</v>
      </c>
      <c r="BE484" s="29">
        <v>0</v>
      </c>
      <c r="BF484" s="29">
        <f>484</f>
        <v>484</v>
      </c>
      <c r="BH484" s="29">
        <f>F484*AO484</f>
        <v>0</v>
      </c>
      <c r="BI484" s="29">
        <f>F484*AP484</f>
        <v>0</v>
      </c>
      <c r="BJ484" s="29">
        <f>F484*G484</f>
        <v>0</v>
      </c>
      <c r="BK484" s="29"/>
      <c r="BL484" s="29">
        <v>764</v>
      </c>
      <c r="BW484" s="29">
        <v>21</v>
      </c>
      <c r="BX484" s="5" t="s">
        <v>821</v>
      </c>
    </row>
    <row r="485" spans="1:76" ht="14.4" x14ac:dyDescent="0.3">
      <c r="A485" s="32"/>
      <c r="C485" s="33" t="s">
        <v>822</v>
      </c>
      <c r="D485" s="33" t="s">
        <v>823</v>
      </c>
      <c r="F485" s="34">
        <v>4.5</v>
      </c>
      <c r="K485" s="35"/>
    </row>
    <row r="486" spans="1:76" ht="14.4" x14ac:dyDescent="0.3">
      <c r="A486" s="2" t="s">
        <v>824</v>
      </c>
      <c r="B486" s="3" t="s">
        <v>825</v>
      </c>
      <c r="C486" s="87" t="s">
        <v>826</v>
      </c>
      <c r="D486" s="84"/>
      <c r="E486" s="3" t="s">
        <v>103</v>
      </c>
      <c r="F486" s="29">
        <v>4</v>
      </c>
      <c r="G486" s="29">
        <v>0</v>
      </c>
      <c r="H486" s="29">
        <f>F486*AO486</f>
        <v>0</v>
      </c>
      <c r="I486" s="29">
        <f>F486*AP486</f>
        <v>0</v>
      </c>
      <c r="J486" s="29">
        <f>F486*G486</f>
        <v>0</v>
      </c>
      <c r="K486" s="30" t="s">
        <v>60</v>
      </c>
      <c r="Z486" s="29">
        <f>IF(AQ486="5",BJ486,0)</f>
        <v>0</v>
      </c>
      <c r="AB486" s="29">
        <f>IF(AQ486="1",BH486,0)</f>
        <v>0</v>
      </c>
      <c r="AC486" s="29">
        <f>IF(AQ486="1",BI486,0)</f>
        <v>0</v>
      </c>
      <c r="AD486" s="29">
        <f>IF(AQ486="7",BH486,0)</f>
        <v>0</v>
      </c>
      <c r="AE486" s="29">
        <f>IF(AQ486="7",BI486,0)</f>
        <v>0</v>
      </c>
      <c r="AF486" s="29">
        <f>IF(AQ486="2",BH486,0)</f>
        <v>0</v>
      </c>
      <c r="AG486" s="29">
        <f>IF(AQ486="2",BI486,0)</f>
        <v>0</v>
      </c>
      <c r="AH486" s="29">
        <f>IF(AQ486="0",BJ486,0)</f>
        <v>0</v>
      </c>
      <c r="AI486" s="11" t="s">
        <v>433</v>
      </c>
      <c r="AJ486" s="29">
        <f>IF(AN486=0,J486,0)</f>
        <v>0</v>
      </c>
      <c r="AK486" s="29">
        <f>IF(AN486=12,J486,0)</f>
        <v>0</v>
      </c>
      <c r="AL486" s="29">
        <f>IF(AN486=21,J486,0)</f>
        <v>0</v>
      </c>
      <c r="AN486" s="29">
        <v>21</v>
      </c>
      <c r="AO486" s="29">
        <f>G486*0.560443491</f>
        <v>0</v>
      </c>
      <c r="AP486" s="29">
        <f>G486*(1-0.560443491)</f>
        <v>0</v>
      </c>
      <c r="AQ486" s="31" t="s">
        <v>117</v>
      </c>
      <c r="AV486" s="29">
        <f>AW486+AX486</f>
        <v>0</v>
      </c>
      <c r="AW486" s="29">
        <f>F486*AO486</f>
        <v>0</v>
      </c>
      <c r="AX486" s="29">
        <f>F486*AP486</f>
        <v>0</v>
      </c>
      <c r="AY486" s="31" t="s">
        <v>297</v>
      </c>
      <c r="AZ486" s="31" t="s">
        <v>767</v>
      </c>
      <c r="BA486" s="11" t="s">
        <v>439</v>
      </c>
      <c r="BC486" s="29">
        <f>AW486+AX486</f>
        <v>0</v>
      </c>
      <c r="BD486" s="29">
        <f>G486/(100-BE486)*100</f>
        <v>0</v>
      </c>
      <c r="BE486" s="29">
        <v>0</v>
      </c>
      <c r="BF486" s="29">
        <f>486</f>
        <v>486</v>
      </c>
      <c r="BH486" s="29">
        <f>F486*AO486</f>
        <v>0</v>
      </c>
      <c r="BI486" s="29">
        <f>F486*AP486</f>
        <v>0</v>
      </c>
      <c r="BJ486" s="29">
        <f>F486*G486</f>
        <v>0</v>
      </c>
      <c r="BK486" s="29"/>
      <c r="BL486" s="29">
        <v>764</v>
      </c>
      <c r="BW486" s="29">
        <v>21</v>
      </c>
      <c r="BX486" s="5" t="s">
        <v>826</v>
      </c>
    </row>
    <row r="487" spans="1:76" ht="14.4" x14ac:dyDescent="0.3">
      <c r="A487" s="2" t="s">
        <v>827</v>
      </c>
      <c r="B487" s="3" t="s">
        <v>322</v>
      </c>
      <c r="C487" s="87" t="s">
        <v>323</v>
      </c>
      <c r="D487" s="84"/>
      <c r="E487" s="3" t="s">
        <v>269</v>
      </c>
      <c r="F487" s="29">
        <v>12.854749999999999</v>
      </c>
      <c r="G487" s="29">
        <v>0</v>
      </c>
      <c r="H487" s="29">
        <f>F487*AO487</f>
        <v>0</v>
      </c>
      <c r="I487" s="29">
        <f>F487*AP487</f>
        <v>0</v>
      </c>
      <c r="J487" s="29">
        <f>F487*G487</f>
        <v>0</v>
      </c>
      <c r="K487" s="30" t="s">
        <v>60</v>
      </c>
      <c r="Z487" s="29">
        <f>IF(AQ487="5",BJ487,0)</f>
        <v>0</v>
      </c>
      <c r="AB487" s="29">
        <f>IF(AQ487="1",BH487,0)</f>
        <v>0</v>
      </c>
      <c r="AC487" s="29">
        <f>IF(AQ487="1",BI487,0)</f>
        <v>0</v>
      </c>
      <c r="AD487" s="29">
        <f>IF(AQ487="7",BH487,0)</f>
        <v>0</v>
      </c>
      <c r="AE487" s="29">
        <f>IF(AQ487="7",BI487,0)</f>
        <v>0</v>
      </c>
      <c r="AF487" s="29">
        <f>IF(AQ487="2",BH487,0)</f>
        <v>0</v>
      </c>
      <c r="AG487" s="29">
        <f>IF(AQ487="2",BI487,0)</f>
        <v>0</v>
      </c>
      <c r="AH487" s="29">
        <f>IF(AQ487="0",BJ487,0)</f>
        <v>0</v>
      </c>
      <c r="AI487" s="11" t="s">
        <v>433</v>
      </c>
      <c r="AJ487" s="29">
        <f>IF(AN487=0,J487,0)</f>
        <v>0</v>
      </c>
      <c r="AK487" s="29">
        <f>IF(AN487=12,J487,0)</f>
        <v>0</v>
      </c>
      <c r="AL487" s="29">
        <f>IF(AN487=21,J487,0)</f>
        <v>0</v>
      </c>
      <c r="AN487" s="29">
        <v>21</v>
      </c>
      <c r="AO487" s="29">
        <f>G487*0</f>
        <v>0</v>
      </c>
      <c r="AP487" s="29">
        <f>G487*(1-0)</f>
        <v>0</v>
      </c>
      <c r="AQ487" s="31" t="s">
        <v>100</v>
      </c>
      <c r="AV487" s="29">
        <f>AW487+AX487</f>
        <v>0</v>
      </c>
      <c r="AW487" s="29">
        <f>F487*AO487</f>
        <v>0</v>
      </c>
      <c r="AX487" s="29">
        <f>F487*AP487</f>
        <v>0</v>
      </c>
      <c r="AY487" s="31" t="s">
        <v>297</v>
      </c>
      <c r="AZ487" s="31" t="s">
        <v>767</v>
      </c>
      <c r="BA487" s="11" t="s">
        <v>439</v>
      </c>
      <c r="BC487" s="29">
        <f>AW487+AX487</f>
        <v>0</v>
      </c>
      <c r="BD487" s="29">
        <f>G487/(100-BE487)*100</f>
        <v>0</v>
      </c>
      <c r="BE487" s="29">
        <v>0</v>
      </c>
      <c r="BF487" s="29">
        <f>487</f>
        <v>487</v>
      </c>
      <c r="BH487" s="29">
        <f>F487*AO487</f>
        <v>0</v>
      </c>
      <c r="BI487" s="29">
        <f>F487*AP487</f>
        <v>0</v>
      </c>
      <c r="BJ487" s="29">
        <f>F487*G487</f>
        <v>0</v>
      </c>
      <c r="BK487" s="29"/>
      <c r="BL487" s="29">
        <v>764</v>
      </c>
      <c r="BW487" s="29">
        <v>21</v>
      </c>
      <c r="BX487" s="5" t="s">
        <v>323</v>
      </c>
    </row>
    <row r="488" spans="1:76" ht="14.4" x14ac:dyDescent="0.3">
      <c r="A488" s="25" t="s">
        <v>51</v>
      </c>
      <c r="B488" s="26" t="s">
        <v>828</v>
      </c>
      <c r="C488" s="143" t="s">
        <v>829</v>
      </c>
      <c r="D488" s="144"/>
      <c r="E488" s="27" t="s">
        <v>4</v>
      </c>
      <c r="F488" s="27" t="s">
        <v>4</v>
      </c>
      <c r="G488" s="27" t="s">
        <v>4</v>
      </c>
      <c r="H488" s="1">
        <f>SUM(H489:H496)</f>
        <v>0</v>
      </c>
      <c r="I488" s="1">
        <f>SUM(I489:I496)</f>
        <v>0</v>
      </c>
      <c r="J488" s="1">
        <f>SUM(J489:J496)</f>
        <v>0</v>
      </c>
      <c r="K488" s="28" t="s">
        <v>51</v>
      </c>
      <c r="AI488" s="11" t="s">
        <v>433</v>
      </c>
      <c r="AS488" s="1">
        <f>SUM(AJ489:AJ496)</f>
        <v>0</v>
      </c>
      <c r="AT488" s="1">
        <f>SUM(AK489:AK496)</f>
        <v>0</v>
      </c>
      <c r="AU488" s="1">
        <f>SUM(AL489:AL496)</f>
        <v>0</v>
      </c>
    </row>
    <row r="489" spans="1:76" ht="14.4" x14ac:dyDescent="0.3">
      <c r="A489" s="2" t="s">
        <v>830</v>
      </c>
      <c r="B489" s="3" t="s">
        <v>831</v>
      </c>
      <c r="C489" s="87" t="s">
        <v>832</v>
      </c>
      <c r="D489" s="84"/>
      <c r="E489" s="3" t="s">
        <v>59</v>
      </c>
      <c r="F489" s="29">
        <v>557.65</v>
      </c>
      <c r="G489" s="29">
        <v>0</v>
      </c>
      <c r="H489" s="29">
        <f>F489*AO489</f>
        <v>0</v>
      </c>
      <c r="I489" s="29">
        <f>F489*AP489</f>
        <v>0</v>
      </c>
      <c r="J489" s="29">
        <f>F489*G489</f>
        <v>0</v>
      </c>
      <c r="K489" s="30" t="s">
        <v>60</v>
      </c>
      <c r="Z489" s="29">
        <f>IF(AQ489="5",BJ489,0)</f>
        <v>0</v>
      </c>
      <c r="AB489" s="29">
        <f>IF(AQ489="1",BH489,0)</f>
        <v>0</v>
      </c>
      <c r="AC489" s="29">
        <f>IF(AQ489="1",BI489,0)</f>
        <v>0</v>
      </c>
      <c r="AD489" s="29">
        <f>IF(AQ489="7",BH489,0)</f>
        <v>0</v>
      </c>
      <c r="AE489" s="29">
        <f>IF(AQ489="7",BI489,0)</f>
        <v>0</v>
      </c>
      <c r="AF489" s="29">
        <f>IF(AQ489="2",BH489,0)</f>
        <v>0</v>
      </c>
      <c r="AG489" s="29">
        <f>IF(AQ489="2",BI489,0)</f>
        <v>0</v>
      </c>
      <c r="AH489" s="29">
        <f>IF(AQ489="0",BJ489,0)</f>
        <v>0</v>
      </c>
      <c r="AI489" s="11" t="s">
        <v>433</v>
      </c>
      <c r="AJ489" s="29">
        <f>IF(AN489=0,J489,0)</f>
        <v>0</v>
      </c>
      <c r="AK489" s="29">
        <f>IF(AN489=12,J489,0)</f>
        <v>0</v>
      </c>
      <c r="AL489" s="29">
        <f>IF(AN489=21,J489,0)</f>
        <v>0</v>
      </c>
      <c r="AN489" s="29">
        <v>21</v>
      </c>
      <c r="AO489" s="29">
        <f>G489*0</f>
        <v>0</v>
      </c>
      <c r="AP489" s="29">
        <f>G489*(1-0)</f>
        <v>0</v>
      </c>
      <c r="AQ489" s="31" t="s">
        <v>117</v>
      </c>
      <c r="AV489" s="29">
        <f>AW489+AX489</f>
        <v>0</v>
      </c>
      <c r="AW489" s="29">
        <f>F489*AO489</f>
        <v>0</v>
      </c>
      <c r="AX489" s="29">
        <f>F489*AP489</f>
        <v>0</v>
      </c>
      <c r="AY489" s="31" t="s">
        <v>833</v>
      </c>
      <c r="AZ489" s="31" t="s">
        <v>767</v>
      </c>
      <c r="BA489" s="11" t="s">
        <v>439</v>
      </c>
      <c r="BC489" s="29">
        <f>AW489+AX489</f>
        <v>0</v>
      </c>
      <c r="BD489" s="29">
        <f>G489/(100-BE489)*100</f>
        <v>0</v>
      </c>
      <c r="BE489" s="29">
        <v>0</v>
      </c>
      <c r="BF489" s="29">
        <f>489</f>
        <v>489</v>
      </c>
      <c r="BH489" s="29">
        <f>F489*AO489</f>
        <v>0</v>
      </c>
      <c r="BI489" s="29">
        <f>F489*AP489</f>
        <v>0</v>
      </c>
      <c r="BJ489" s="29">
        <f>F489*G489</f>
        <v>0</v>
      </c>
      <c r="BK489" s="29"/>
      <c r="BL489" s="29">
        <v>765</v>
      </c>
      <c r="BW489" s="29">
        <v>21</v>
      </c>
      <c r="BX489" s="5" t="s">
        <v>832</v>
      </c>
    </row>
    <row r="490" spans="1:76" ht="14.4" x14ac:dyDescent="0.3">
      <c r="A490" s="32"/>
      <c r="C490" s="33" t="s">
        <v>209</v>
      </c>
      <c r="D490" s="33" t="s">
        <v>210</v>
      </c>
      <c r="F490" s="34">
        <v>182.68</v>
      </c>
      <c r="K490" s="35"/>
    </row>
    <row r="491" spans="1:76" ht="14.4" x14ac:dyDescent="0.3">
      <c r="A491" s="32"/>
      <c r="C491" s="33" t="s">
        <v>124</v>
      </c>
      <c r="D491" s="33" t="s">
        <v>211</v>
      </c>
      <c r="F491" s="34">
        <v>185.18</v>
      </c>
      <c r="K491" s="35"/>
    </row>
    <row r="492" spans="1:76" ht="14.4" x14ac:dyDescent="0.3">
      <c r="A492" s="32"/>
      <c r="C492" s="33" t="s">
        <v>212</v>
      </c>
      <c r="D492" s="33" t="s">
        <v>213</v>
      </c>
      <c r="F492" s="34">
        <v>189.79</v>
      </c>
      <c r="K492" s="35"/>
    </row>
    <row r="493" spans="1:76" ht="14.4" x14ac:dyDescent="0.3">
      <c r="A493" s="2" t="s">
        <v>834</v>
      </c>
      <c r="B493" s="3" t="s">
        <v>835</v>
      </c>
      <c r="C493" s="87" t="s">
        <v>836</v>
      </c>
      <c r="D493" s="84"/>
      <c r="E493" s="3" t="s">
        <v>59</v>
      </c>
      <c r="F493" s="29">
        <v>585.53250000000003</v>
      </c>
      <c r="G493" s="29">
        <v>0</v>
      </c>
      <c r="H493" s="29">
        <f>F493*AO493</f>
        <v>0</v>
      </c>
      <c r="I493" s="29">
        <f>F493*AP493</f>
        <v>0</v>
      </c>
      <c r="J493" s="29">
        <f>F493*G493</f>
        <v>0</v>
      </c>
      <c r="K493" s="30" t="s">
        <v>60</v>
      </c>
      <c r="Z493" s="29">
        <f>IF(AQ493="5",BJ493,0)</f>
        <v>0</v>
      </c>
      <c r="AB493" s="29">
        <f>IF(AQ493="1",BH493,0)</f>
        <v>0</v>
      </c>
      <c r="AC493" s="29">
        <f>IF(AQ493="1",BI493,0)</f>
        <v>0</v>
      </c>
      <c r="AD493" s="29">
        <f>IF(AQ493="7",BH493,0)</f>
        <v>0</v>
      </c>
      <c r="AE493" s="29">
        <f>IF(AQ493="7",BI493,0)</f>
        <v>0</v>
      </c>
      <c r="AF493" s="29">
        <f>IF(AQ493="2",BH493,0)</f>
        <v>0</v>
      </c>
      <c r="AG493" s="29">
        <f>IF(AQ493="2",BI493,0)</f>
        <v>0</v>
      </c>
      <c r="AH493" s="29">
        <f>IF(AQ493="0",BJ493,0)</f>
        <v>0</v>
      </c>
      <c r="AI493" s="11" t="s">
        <v>433</v>
      </c>
      <c r="AJ493" s="29">
        <f>IF(AN493=0,J493,0)</f>
        <v>0</v>
      </c>
      <c r="AK493" s="29">
        <f>IF(AN493=12,J493,0)</f>
        <v>0</v>
      </c>
      <c r="AL493" s="29">
        <f>IF(AN493=21,J493,0)</f>
        <v>0</v>
      </c>
      <c r="AN493" s="29">
        <v>21</v>
      </c>
      <c r="AO493" s="29">
        <f>G493*1</f>
        <v>0</v>
      </c>
      <c r="AP493" s="29">
        <f>G493*(1-1)</f>
        <v>0</v>
      </c>
      <c r="AQ493" s="31" t="s">
        <v>117</v>
      </c>
      <c r="AV493" s="29">
        <f>AW493+AX493</f>
        <v>0</v>
      </c>
      <c r="AW493" s="29">
        <f>F493*AO493</f>
        <v>0</v>
      </c>
      <c r="AX493" s="29">
        <f>F493*AP493</f>
        <v>0</v>
      </c>
      <c r="AY493" s="31" t="s">
        <v>833</v>
      </c>
      <c r="AZ493" s="31" t="s">
        <v>767</v>
      </c>
      <c r="BA493" s="11" t="s">
        <v>439</v>
      </c>
      <c r="BC493" s="29">
        <f>AW493+AX493</f>
        <v>0</v>
      </c>
      <c r="BD493" s="29">
        <f>G493/(100-BE493)*100</f>
        <v>0</v>
      </c>
      <c r="BE493" s="29">
        <v>0</v>
      </c>
      <c r="BF493" s="29">
        <f>493</f>
        <v>493</v>
      </c>
      <c r="BH493" s="29">
        <f>F493*AO493</f>
        <v>0</v>
      </c>
      <c r="BI493" s="29">
        <f>F493*AP493</f>
        <v>0</v>
      </c>
      <c r="BJ493" s="29">
        <f>F493*G493</f>
        <v>0</v>
      </c>
      <c r="BK493" s="29"/>
      <c r="BL493" s="29">
        <v>765</v>
      </c>
      <c r="BW493" s="29">
        <v>21</v>
      </c>
      <c r="BX493" s="5" t="s">
        <v>836</v>
      </c>
    </row>
    <row r="494" spans="1:76" ht="14.4" x14ac:dyDescent="0.3">
      <c r="A494" s="32"/>
      <c r="C494" s="33" t="s">
        <v>746</v>
      </c>
      <c r="D494" s="33" t="s">
        <v>51</v>
      </c>
      <c r="F494" s="34">
        <v>557.65</v>
      </c>
      <c r="K494" s="35"/>
    </row>
    <row r="495" spans="1:76" ht="14.4" x14ac:dyDescent="0.3">
      <c r="A495" s="32"/>
      <c r="C495" s="33" t="s">
        <v>747</v>
      </c>
      <c r="D495" s="33" t="s">
        <v>51</v>
      </c>
      <c r="F495" s="34">
        <v>27.8825</v>
      </c>
      <c r="K495" s="35"/>
    </row>
    <row r="496" spans="1:76" ht="14.4" x14ac:dyDescent="0.3">
      <c r="A496" s="2" t="s">
        <v>837</v>
      </c>
      <c r="B496" s="3" t="s">
        <v>838</v>
      </c>
      <c r="C496" s="87" t="s">
        <v>839</v>
      </c>
      <c r="D496" s="84"/>
      <c r="E496" s="3" t="s">
        <v>269</v>
      </c>
      <c r="F496" s="29">
        <v>0.10539999999999999</v>
      </c>
      <c r="G496" s="29">
        <v>0</v>
      </c>
      <c r="H496" s="29">
        <f>F496*AO496</f>
        <v>0</v>
      </c>
      <c r="I496" s="29">
        <f>F496*AP496</f>
        <v>0</v>
      </c>
      <c r="J496" s="29">
        <f>F496*G496</f>
        <v>0</v>
      </c>
      <c r="K496" s="30" t="s">
        <v>60</v>
      </c>
      <c r="Z496" s="29">
        <f>IF(AQ496="5",BJ496,0)</f>
        <v>0</v>
      </c>
      <c r="AB496" s="29">
        <f>IF(AQ496="1",BH496,0)</f>
        <v>0</v>
      </c>
      <c r="AC496" s="29">
        <f>IF(AQ496="1",BI496,0)</f>
        <v>0</v>
      </c>
      <c r="AD496" s="29">
        <f>IF(AQ496="7",BH496,0)</f>
        <v>0</v>
      </c>
      <c r="AE496" s="29">
        <f>IF(AQ496="7",BI496,0)</f>
        <v>0</v>
      </c>
      <c r="AF496" s="29">
        <f>IF(AQ496="2",BH496,0)</f>
        <v>0</v>
      </c>
      <c r="AG496" s="29">
        <f>IF(AQ496="2",BI496,0)</f>
        <v>0</v>
      </c>
      <c r="AH496" s="29">
        <f>IF(AQ496="0",BJ496,0)</f>
        <v>0</v>
      </c>
      <c r="AI496" s="11" t="s">
        <v>433</v>
      </c>
      <c r="AJ496" s="29">
        <f>IF(AN496=0,J496,0)</f>
        <v>0</v>
      </c>
      <c r="AK496" s="29">
        <f>IF(AN496=12,J496,0)</f>
        <v>0</v>
      </c>
      <c r="AL496" s="29">
        <f>IF(AN496=21,J496,0)</f>
        <v>0</v>
      </c>
      <c r="AN496" s="29">
        <v>21</v>
      </c>
      <c r="AO496" s="29">
        <f>G496*0</f>
        <v>0</v>
      </c>
      <c r="AP496" s="29">
        <f>G496*(1-0)</f>
        <v>0</v>
      </c>
      <c r="AQ496" s="31" t="s">
        <v>100</v>
      </c>
      <c r="AV496" s="29">
        <f>AW496+AX496</f>
        <v>0</v>
      </c>
      <c r="AW496" s="29">
        <f>F496*AO496</f>
        <v>0</v>
      </c>
      <c r="AX496" s="29">
        <f>F496*AP496</f>
        <v>0</v>
      </c>
      <c r="AY496" s="31" t="s">
        <v>833</v>
      </c>
      <c r="AZ496" s="31" t="s">
        <v>767</v>
      </c>
      <c r="BA496" s="11" t="s">
        <v>439</v>
      </c>
      <c r="BC496" s="29">
        <f>AW496+AX496</f>
        <v>0</v>
      </c>
      <c r="BD496" s="29">
        <f>G496/(100-BE496)*100</f>
        <v>0</v>
      </c>
      <c r="BE496" s="29">
        <v>0</v>
      </c>
      <c r="BF496" s="29">
        <f>496</f>
        <v>496</v>
      </c>
      <c r="BH496" s="29">
        <f>F496*AO496</f>
        <v>0</v>
      </c>
      <c r="BI496" s="29">
        <f>F496*AP496</f>
        <v>0</v>
      </c>
      <c r="BJ496" s="29">
        <f>F496*G496</f>
        <v>0</v>
      </c>
      <c r="BK496" s="29"/>
      <c r="BL496" s="29">
        <v>765</v>
      </c>
      <c r="BW496" s="29">
        <v>21</v>
      </c>
      <c r="BX496" s="5" t="s">
        <v>839</v>
      </c>
    </row>
    <row r="497" spans="1:76" ht="14.4" x14ac:dyDescent="0.3">
      <c r="A497" s="25" t="s">
        <v>51</v>
      </c>
      <c r="B497" s="26" t="s">
        <v>840</v>
      </c>
      <c r="C497" s="143" t="s">
        <v>841</v>
      </c>
      <c r="D497" s="144"/>
      <c r="E497" s="27" t="s">
        <v>4</v>
      </c>
      <c r="F497" s="27" t="s">
        <v>4</v>
      </c>
      <c r="G497" s="27" t="s">
        <v>4</v>
      </c>
      <c r="H497" s="1">
        <f>SUM(H498:H501)</f>
        <v>0</v>
      </c>
      <c r="I497" s="1">
        <f>SUM(I498:I501)</f>
        <v>0</v>
      </c>
      <c r="J497" s="1">
        <f>SUM(J498:J501)</f>
        <v>0</v>
      </c>
      <c r="K497" s="28" t="s">
        <v>51</v>
      </c>
      <c r="AI497" s="11" t="s">
        <v>433</v>
      </c>
      <c r="AS497" s="1">
        <f>SUM(AJ498:AJ501)</f>
        <v>0</v>
      </c>
      <c r="AT497" s="1">
        <f>SUM(AK498:AK501)</f>
        <v>0</v>
      </c>
      <c r="AU497" s="1">
        <f>SUM(AL498:AL501)</f>
        <v>0</v>
      </c>
    </row>
    <row r="498" spans="1:76" ht="26.4" x14ac:dyDescent="0.3">
      <c r="A498" s="2" t="s">
        <v>842</v>
      </c>
      <c r="B498" s="3" t="s">
        <v>843</v>
      </c>
      <c r="C498" s="87" t="s">
        <v>844</v>
      </c>
      <c r="D498" s="84"/>
      <c r="E498" s="3" t="s">
        <v>845</v>
      </c>
      <c r="F498" s="29">
        <v>1</v>
      </c>
      <c r="G498" s="29">
        <v>0</v>
      </c>
      <c r="H498" s="29">
        <f>F498*AO498</f>
        <v>0</v>
      </c>
      <c r="I498" s="29">
        <f>F498*AP498</f>
        <v>0</v>
      </c>
      <c r="J498" s="29">
        <f>F498*G498</f>
        <v>0</v>
      </c>
      <c r="K498" s="30" t="s">
        <v>351</v>
      </c>
      <c r="Z498" s="29">
        <f>IF(AQ498="5",BJ498,0)</f>
        <v>0</v>
      </c>
      <c r="AB498" s="29">
        <f>IF(AQ498="1",BH498,0)</f>
        <v>0</v>
      </c>
      <c r="AC498" s="29">
        <f>IF(AQ498="1",BI498,0)</f>
        <v>0</v>
      </c>
      <c r="AD498" s="29">
        <f>IF(AQ498="7",BH498,0)</f>
        <v>0</v>
      </c>
      <c r="AE498" s="29">
        <f>IF(AQ498="7",BI498,0)</f>
        <v>0</v>
      </c>
      <c r="AF498" s="29">
        <f>IF(AQ498="2",BH498,0)</f>
        <v>0</v>
      </c>
      <c r="AG498" s="29">
        <f>IF(AQ498="2",BI498,0)</f>
        <v>0</v>
      </c>
      <c r="AH498" s="29">
        <f>IF(AQ498="0",BJ498,0)</f>
        <v>0</v>
      </c>
      <c r="AI498" s="11" t="s">
        <v>433</v>
      </c>
      <c r="AJ498" s="29">
        <f>IF(AN498=0,J498,0)</f>
        <v>0</v>
      </c>
      <c r="AK498" s="29">
        <f>IF(AN498=12,J498,0)</f>
        <v>0</v>
      </c>
      <c r="AL498" s="29">
        <f>IF(AN498=21,J498,0)</f>
        <v>0</v>
      </c>
      <c r="AN498" s="29">
        <v>21</v>
      </c>
      <c r="AO498" s="29">
        <f>G498*0.776315127</f>
        <v>0</v>
      </c>
      <c r="AP498" s="29">
        <f>G498*(1-0.776315127)</f>
        <v>0</v>
      </c>
      <c r="AQ498" s="31" t="s">
        <v>117</v>
      </c>
      <c r="AV498" s="29">
        <f>AW498+AX498</f>
        <v>0</v>
      </c>
      <c r="AW498" s="29">
        <f>F498*AO498</f>
        <v>0</v>
      </c>
      <c r="AX498" s="29">
        <f>F498*AP498</f>
        <v>0</v>
      </c>
      <c r="AY498" s="31" t="s">
        <v>846</v>
      </c>
      <c r="AZ498" s="31" t="s">
        <v>767</v>
      </c>
      <c r="BA498" s="11" t="s">
        <v>439</v>
      </c>
      <c r="BC498" s="29">
        <f>AW498+AX498</f>
        <v>0</v>
      </c>
      <c r="BD498" s="29">
        <f>G498/(100-BE498)*100</f>
        <v>0</v>
      </c>
      <c r="BE498" s="29">
        <v>0</v>
      </c>
      <c r="BF498" s="29">
        <f>498</f>
        <v>498</v>
      </c>
      <c r="BH498" s="29">
        <f>F498*AO498</f>
        <v>0</v>
      </c>
      <c r="BI498" s="29">
        <f>F498*AP498</f>
        <v>0</v>
      </c>
      <c r="BJ498" s="29">
        <f>F498*G498</f>
        <v>0</v>
      </c>
      <c r="BK498" s="29"/>
      <c r="BL498" s="29">
        <v>766</v>
      </c>
      <c r="BW498" s="29">
        <v>21</v>
      </c>
      <c r="BX498" s="5" t="s">
        <v>844</v>
      </c>
    </row>
    <row r="499" spans="1:76" ht="26.4" x14ac:dyDescent="0.3">
      <c r="A499" s="2" t="s">
        <v>847</v>
      </c>
      <c r="B499" s="3" t="s">
        <v>848</v>
      </c>
      <c r="C499" s="87" t="s">
        <v>849</v>
      </c>
      <c r="D499" s="84"/>
      <c r="E499" s="3" t="s">
        <v>845</v>
      </c>
      <c r="F499" s="29">
        <v>3</v>
      </c>
      <c r="G499" s="29">
        <v>0</v>
      </c>
      <c r="H499" s="29">
        <f>F499*AO499</f>
        <v>0</v>
      </c>
      <c r="I499" s="29">
        <f>F499*AP499</f>
        <v>0</v>
      </c>
      <c r="J499" s="29">
        <f>F499*G499</f>
        <v>0</v>
      </c>
      <c r="K499" s="30" t="s">
        <v>351</v>
      </c>
      <c r="Z499" s="29">
        <f>IF(AQ499="5",BJ499,0)</f>
        <v>0</v>
      </c>
      <c r="AB499" s="29">
        <f>IF(AQ499="1",BH499,0)</f>
        <v>0</v>
      </c>
      <c r="AC499" s="29">
        <f>IF(AQ499="1",BI499,0)</f>
        <v>0</v>
      </c>
      <c r="AD499" s="29">
        <f>IF(AQ499="7",BH499,0)</f>
        <v>0</v>
      </c>
      <c r="AE499" s="29">
        <f>IF(AQ499="7",BI499,0)</f>
        <v>0</v>
      </c>
      <c r="AF499" s="29">
        <f>IF(AQ499="2",BH499,0)</f>
        <v>0</v>
      </c>
      <c r="AG499" s="29">
        <f>IF(AQ499="2",BI499,0)</f>
        <v>0</v>
      </c>
      <c r="AH499" s="29">
        <f>IF(AQ499="0",BJ499,0)</f>
        <v>0</v>
      </c>
      <c r="AI499" s="11" t="s">
        <v>433</v>
      </c>
      <c r="AJ499" s="29">
        <f>IF(AN499=0,J499,0)</f>
        <v>0</v>
      </c>
      <c r="AK499" s="29">
        <f>IF(AN499=12,J499,0)</f>
        <v>0</v>
      </c>
      <c r="AL499" s="29">
        <f>IF(AN499=21,J499,0)</f>
        <v>0</v>
      </c>
      <c r="AN499" s="29">
        <v>21</v>
      </c>
      <c r="AO499" s="29">
        <f>G499*0.749475647</f>
        <v>0</v>
      </c>
      <c r="AP499" s="29">
        <f>G499*(1-0.749475647)</f>
        <v>0</v>
      </c>
      <c r="AQ499" s="31" t="s">
        <v>117</v>
      </c>
      <c r="AV499" s="29">
        <f>AW499+AX499</f>
        <v>0</v>
      </c>
      <c r="AW499" s="29">
        <f>F499*AO499</f>
        <v>0</v>
      </c>
      <c r="AX499" s="29">
        <f>F499*AP499</f>
        <v>0</v>
      </c>
      <c r="AY499" s="31" t="s">
        <v>846</v>
      </c>
      <c r="AZ499" s="31" t="s">
        <v>767</v>
      </c>
      <c r="BA499" s="11" t="s">
        <v>439</v>
      </c>
      <c r="BC499" s="29">
        <f>AW499+AX499</f>
        <v>0</v>
      </c>
      <c r="BD499" s="29">
        <f>G499/(100-BE499)*100</f>
        <v>0</v>
      </c>
      <c r="BE499" s="29">
        <v>0</v>
      </c>
      <c r="BF499" s="29">
        <f>499</f>
        <v>499</v>
      </c>
      <c r="BH499" s="29">
        <f>F499*AO499</f>
        <v>0</v>
      </c>
      <c r="BI499" s="29">
        <f>F499*AP499</f>
        <v>0</v>
      </c>
      <c r="BJ499" s="29">
        <f>F499*G499</f>
        <v>0</v>
      </c>
      <c r="BK499" s="29"/>
      <c r="BL499" s="29">
        <v>766</v>
      </c>
      <c r="BW499" s="29">
        <v>21</v>
      </c>
      <c r="BX499" s="5" t="s">
        <v>849</v>
      </c>
    </row>
    <row r="500" spans="1:76" ht="26.4" x14ac:dyDescent="0.3">
      <c r="A500" s="2" t="s">
        <v>850</v>
      </c>
      <c r="B500" s="3" t="s">
        <v>851</v>
      </c>
      <c r="C500" s="87" t="s">
        <v>852</v>
      </c>
      <c r="D500" s="84"/>
      <c r="E500" s="3" t="s">
        <v>845</v>
      </c>
      <c r="F500" s="29">
        <v>5</v>
      </c>
      <c r="G500" s="29">
        <v>0</v>
      </c>
      <c r="H500" s="29">
        <f>F500*AO500</f>
        <v>0</v>
      </c>
      <c r="I500" s="29">
        <f>F500*AP500</f>
        <v>0</v>
      </c>
      <c r="J500" s="29">
        <f>F500*G500</f>
        <v>0</v>
      </c>
      <c r="K500" s="30" t="s">
        <v>351</v>
      </c>
      <c r="Z500" s="29">
        <f>IF(AQ500="5",BJ500,0)</f>
        <v>0</v>
      </c>
      <c r="AB500" s="29">
        <f>IF(AQ500="1",BH500,0)</f>
        <v>0</v>
      </c>
      <c r="AC500" s="29">
        <f>IF(AQ500="1",BI500,0)</f>
        <v>0</v>
      </c>
      <c r="AD500" s="29">
        <f>IF(AQ500="7",BH500,0)</f>
        <v>0</v>
      </c>
      <c r="AE500" s="29">
        <f>IF(AQ500="7",BI500,0)</f>
        <v>0</v>
      </c>
      <c r="AF500" s="29">
        <f>IF(AQ500="2",BH500,0)</f>
        <v>0</v>
      </c>
      <c r="AG500" s="29">
        <f>IF(AQ500="2",BI500,0)</f>
        <v>0</v>
      </c>
      <c r="AH500" s="29">
        <f>IF(AQ500="0",BJ500,0)</f>
        <v>0</v>
      </c>
      <c r="AI500" s="11" t="s">
        <v>433</v>
      </c>
      <c r="AJ500" s="29">
        <f>IF(AN500=0,J500,0)</f>
        <v>0</v>
      </c>
      <c r="AK500" s="29">
        <f>IF(AN500=12,J500,0)</f>
        <v>0</v>
      </c>
      <c r="AL500" s="29">
        <f>IF(AN500=21,J500,0)</f>
        <v>0</v>
      </c>
      <c r="AN500" s="29">
        <v>21</v>
      </c>
      <c r="AO500" s="29">
        <f>G500*0.786115864</f>
        <v>0</v>
      </c>
      <c r="AP500" s="29">
        <f>G500*(1-0.786115864)</f>
        <v>0</v>
      </c>
      <c r="AQ500" s="31" t="s">
        <v>117</v>
      </c>
      <c r="AV500" s="29">
        <f>AW500+AX500</f>
        <v>0</v>
      </c>
      <c r="AW500" s="29">
        <f>F500*AO500</f>
        <v>0</v>
      </c>
      <c r="AX500" s="29">
        <f>F500*AP500</f>
        <v>0</v>
      </c>
      <c r="AY500" s="31" t="s">
        <v>846</v>
      </c>
      <c r="AZ500" s="31" t="s">
        <v>767</v>
      </c>
      <c r="BA500" s="11" t="s">
        <v>439</v>
      </c>
      <c r="BC500" s="29">
        <f>AW500+AX500</f>
        <v>0</v>
      </c>
      <c r="BD500" s="29">
        <f>G500/(100-BE500)*100</f>
        <v>0</v>
      </c>
      <c r="BE500" s="29">
        <v>0</v>
      </c>
      <c r="BF500" s="29">
        <f>500</f>
        <v>500</v>
      </c>
      <c r="BH500" s="29">
        <f>F500*AO500</f>
        <v>0</v>
      </c>
      <c r="BI500" s="29">
        <f>F500*AP500</f>
        <v>0</v>
      </c>
      <c r="BJ500" s="29">
        <f>F500*G500</f>
        <v>0</v>
      </c>
      <c r="BK500" s="29"/>
      <c r="BL500" s="29">
        <v>766</v>
      </c>
      <c r="BW500" s="29">
        <v>21</v>
      </c>
      <c r="BX500" s="5" t="s">
        <v>852</v>
      </c>
    </row>
    <row r="501" spans="1:76" ht="14.4" x14ac:dyDescent="0.3">
      <c r="A501" s="2" t="s">
        <v>853</v>
      </c>
      <c r="B501" s="3" t="s">
        <v>854</v>
      </c>
      <c r="C501" s="87" t="s">
        <v>855</v>
      </c>
      <c r="D501" s="84"/>
      <c r="E501" s="3" t="s">
        <v>269</v>
      </c>
      <c r="F501" s="29">
        <v>2.7</v>
      </c>
      <c r="G501" s="29">
        <v>0</v>
      </c>
      <c r="H501" s="29">
        <f>F501*AO501</f>
        <v>0</v>
      </c>
      <c r="I501" s="29">
        <f>F501*AP501</f>
        <v>0</v>
      </c>
      <c r="J501" s="29">
        <f>F501*G501</f>
        <v>0</v>
      </c>
      <c r="K501" s="30" t="s">
        <v>60</v>
      </c>
      <c r="Z501" s="29">
        <f>IF(AQ501="5",BJ501,0)</f>
        <v>0</v>
      </c>
      <c r="AB501" s="29">
        <f>IF(AQ501="1",BH501,0)</f>
        <v>0</v>
      </c>
      <c r="AC501" s="29">
        <f>IF(AQ501="1",BI501,0)</f>
        <v>0</v>
      </c>
      <c r="AD501" s="29">
        <f>IF(AQ501="7",BH501,0)</f>
        <v>0</v>
      </c>
      <c r="AE501" s="29">
        <f>IF(AQ501="7",BI501,0)</f>
        <v>0</v>
      </c>
      <c r="AF501" s="29">
        <f>IF(AQ501="2",BH501,0)</f>
        <v>0</v>
      </c>
      <c r="AG501" s="29">
        <f>IF(AQ501="2",BI501,0)</f>
        <v>0</v>
      </c>
      <c r="AH501" s="29">
        <f>IF(AQ501="0",BJ501,0)</f>
        <v>0</v>
      </c>
      <c r="AI501" s="11" t="s">
        <v>433</v>
      </c>
      <c r="AJ501" s="29">
        <f>IF(AN501=0,J501,0)</f>
        <v>0</v>
      </c>
      <c r="AK501" s="29">
        <f>IF(AN501=12,J501,0)</f>
        <v>0</v>
      </c>
      <c r="AL501" s="29">
        <f>IF(AN501=21,J501,0)</f>
        <v>0</v>
      </c>
      <c r="AN501" s="29">
        <v>21</v>
      </c>
      <c r="AO501" s="29">
        <f>G501*0</f>
        <v>0</v>
      </c>
      <c r="AP501" s="29">
        <f>G501*(1-0)</f>
        <v>0</v>
      </c>
      <c r="AQ501" s="31" t="s">
        <v>100</v>
      </c>
      <c r="AV501" s="29">
        <f>AW501+AX501</f>
        <v>0</v>
      </c>
      <c r="AW501" s="29">
        <f>F501*AO501</f>
        <v>0</v>
      </c>
      <c r="AX501" s="29">
        <f>F501*AP501</f>
        <v>0</v>
      </c>
      <c r="AY501" s="31" t="s">
        <v>846</v>
      </c>
      <c r="AZ501" s="31" t="s">
        <v>767</v>
      </c>
      <c r="BA501" s="11" t="s">
        <v>439</v>
      </c>
      <c r="BC501" s="29">
        <f>AW501+AX501</f>
        <v>0</v>
      </c>
      <c r="BD501" s="29">
        <f>G501/(100-BE501)*100</f>
        <v>0</v>
      </c>
      <c r="BE501" s="29">
        <v>0</v>
      </c>
      <c r="BF501" s="29">
        <f>501</f>
        <v>501</v>
      </c>
      <c r="BH501" s="29">
        <f>F501*AO501</f>
        <v>0</v>
      </c>
      <c r="BI501" s="29">
        <f>F501*AP501</f>
        <v>0</v>
      </c>
      <c r="BJ501" s="29">
        <f>F501*G501</f>
        <v>0</v>
      </c>
      <c r="BK501" s="29"/>
      <c r="BL501" s="29">
        <v>766</v>
      </c>
      <c r="BW501" s="29">
        <v>21</v>
      </c>
      <c r="BX501" s="5" t="s">
        <v>855</v>
      </c>
    </row>
    <row r="502" spans="1:76" ht="14.4" x14ac:dyDescent="0.3">
      <c r="A502" s="25" t="s">
        <v>51</v>
      </c>
      <c r="B502" s="26" t="s">
        <v>856</v>
      </c>
      <c r="C502" s="143" t="s">
        <v>857</v>
      </c>
      <c r="D502" s="144"/>
      <c r="E502" s="27" t="s">
        <v>4</v>
      </c>
      <c r="F502" s="27" t="s">
        <v>4</v>
      </c>
      <c r="G502" s="27" t="s">
        <v>4</v>
      </c>
      <c r="H502" s="1">
        <f>SUM(H503:H551)</f>
        <v>0</v>
      </c>
      <c r="I502" s="1">
        <f>SUM(I503:I551)</f>
        <v>0</v>
      </c>
      <c r="J502" s="1">
        <f>SUM(J503:J551)</f>
        <v>0</v>
      </c>
      <c r="K502" s="28" t="s">
        <v>51</v>
      </c>
      <c r="AI502" s="11" t="s">
        <v>433</v>
      </c>
      <c r="AS502" s="1">
        <f>SUM(AJ503:AJ551)</f>
        <v>0</v>
      </c>
      <c r="AT502" s="1">
        <f>SUM(AK503:AK551)</f>
        <v>0</v>
      </c>
      <c r="AU502" s="1">
        <f>SUM(AL503:AL551)</f>
        <v>0</v>
      </c>
    </row>
    <row r="503" spans="1:76" ht="14.4" x14ac:dyDescent="0.3">
      <c r="A503" s="2" t="s">
        <v>858</v>
      </c>
      <c r="B503" s="3" t="s">
        <v>859</v>
      </c>
      <c r="C503" s="87" t="s">
        <v>860</v>
      </c>
      <c r="D503" s="84"/>
      <c r="E503" s="3" t="s">
        <v>59</v>
      </c>
      <c r="F503" s="29">
        <v>557.65</v>
      </c>
      <c r="G503" s="29">
        <v>0</v>
      </c>
      <c r="H503" s="29">
        <f>F503*AO503</f>
        <v>0</v>
      </c>
      <c r="I503" s="29">
        <f>F503*AP503</f>
        <v>0</v>
      </c>
      <c r="J503" s="29">
        <f>F503*G503</f>
        <v>0</v>
      </c>
      <c r="K503" s="30" t="s">
        <v>60</v>
      </c>
      <c r="Z503" s="29">
        <f>IF(AQ503="5",BJ503,0)</f>
        <v>0</v>
      </c>
      <c r="AB503" s="29">
        <f>IF(AQ503="1",BH503,0)</f>
        <v>0</v>
      </c>
      <c r="AC503" s="29">
        <f>IF(AQ503="1",BI503,0)</f>
        <v>0</v>
      </c>
      <c r="AD503" s="29">
        <f>IF(AQ503="7",BH503,0)</f>
        <v>0</v>
      </c>
      <c r="AE503" s="29">
        <f>IF(AQ503="7",BI503,0)</f>
        <v>0</v>
      </c>
      <c r="AF503" s="29">
        <f>IF(AQ503="2",BH503,0)</f>
        <v>0</v>
      </c>
      <c r="AG503" s="29">
        <f>IF(AQ503="2",BI503,0)</f>
        <v>0</v>
      </c>
      <c r="AH503" s="29">
        <f>IF(AQ503="0",BJ503,0)</f>
        <v>0</v>
      </c>
      <c r="AI503" s="11" t="s">
        <v>433</v>
      </c>
      <c r="AJ503" s="29">
        <f>IF(AN503=0,J503,0)</f>
        <v>0</v>
      </c>
      <c r="AK503" s="29">
        <f>IF(AN503=12,J503,0)</f>
        <v>0</v>
      </c>
      <c r="AL503" s="29">
        <f>IF(AN503=21,J503,0)</f>
        <v>0</v>
      </c>
      <c r="AN503" s="29">
        <v>21</v>
      </c>
      <c r="AO503" s="29">
        <f>G503*0.009730539</f>
        <v>0</v>
      </c>
      <c r="AP503" s="29">
        <f>G503*(1-0.009730539)</f>
        <v>0</v>
      </c>
      <c r="AQ503" s="31" t="s">
        <v>117</v>
      </c>
      <c r="AV503" s="29">
        <f>AW503+AX503</f>
        <v>0</v>
      </c>
      <c r="AW503" s="29">
        <f>F503*AO503</f>
        <v>0</v>
      </c>
      <c r="AX503" s="29">
        <f>F503*AP503</f>
        <v>0</v>
      </c>
      <c r="AY503" s="31" t="s">
        <v>861</v>
      </c>
      <c r="AZ503" s="31" t="s">
        <v>767</v>
      </c>
      <c r="BA503" s="11" t="s">
        <v>439</v>
      </c>
      <c r="BC503" s="29">
        <f>AW503+AX503</f>
        <v>0</v>
      </c>
      <c r="BD503" s="29">
        <f>G503/(100-BE503)*100</f>
        <v>0</v>
      </c>
      <c r="BE503" s="29">
        <v>0</v>
      </c>
      <c r="BF503" s="29">
        <f>503</f>
        <v>503</v>
      </c>
      <c r="BH503" s="29">
        <f>F503*AO503</f>
        <v>0</v>
      </c>
      <c r="BI503" s="29">
        <f>F503*AP503</f>
        <v>0</v>
      </c>
      <c r="BJ503" s="29">
        <f>F503*G503</f>
        <v>0</v>
      </c>
      <c r="BK503" s="29"/>
      <c r="BL503" s="29">
        <v>767</v>
      </c>
      <c r="BW503" s="29">
        <v>21</v>
      </c>
      <c r="BX503" s="5" t="s">
        <v>860</v>
      </c>
    </row>
    <row r="504" spans="1:76" ht="14.4" x14ac:dyDescent="0.3">
      <c r="A504" s="32"/>
      <c r="C504" s="33" t="s">
        <v>209</v>
      </c>
      <c r="D504" s="33" t="s">
        <v>210</v>
      </c>
      <c r="F504" s="34">
        <v>182.68</v>
      </c>
      <c r="K504" s="35"/>
    </row>
    <row r="505" spans="1:76" ht="14.4" x14ac:dyDescent="0.3">
      <c r="A505" s="32"/>
      <c r="C505" s="33" t="s">
        <v>124</v>
      </c>
      <c r="D505" s="33" t="s">
        <v>211</v>
      </c>
      <c r="F505" s="34">
        <v>185.18</v>
      </c>
      <c r="K505" s="35"/>
    </row>
    <row r="506" spans="1:76" ht="14.4" x14ac:dyDescent="0.3">
      <c r="A506" s="32"/>
      <c r="C506" s="33" t="s">
        <v>212</v>
      </c>
      <c r="D506" s="33" t="s">
        <v>213</v>
      </c>
      <c r="F506" s="34">
        <v>189.79</v>
      </c>
      <c r="K506" s="35"/>
    </row>
    <row r="507" spans="1:76" ht="14.4" x14ac:dyDescent="0.3">
      <c r="A507" s="2" t="s">
        <v>862</v>
      </c>
      <c r="B507" s="3" t="s">
        <v>863</v>
      </c>
      <c r="C507" s="87" t="s">
        <v>864</v>
      </c>
      <c r="D507" s="84"/>
      <c r="E507" s="3" t="s">
        <v>73</v>
      </c>
      <c r="F507" s="29">
        <v>171.6</v>
      </c>
      <c r="G507" s="29">
        <v>0</v>
      </c>
      <c r="H507" s="29">
        <f>F507*AO507</f>
        <v>0</v>
      </c>
      <c r="I507" s="29">
        <f>F507*AP507</f>
        <v>0</v>
      </c>
      <c r="J507" s="29">
        <f>F507*G507</f>
        <v>0</v>
      </c>
      <c r="K507" s="30" t="s">
        <v>60</v>
      </c>
      <c r="Z507" s="29">
        <f>IF(AQ507="5",BJ507,0)</f>
        <v>0</v>
      </c>
      <c r="AB507" s="29">
        <f>IF(AQ507="1",BH507,0)</f>
        <v>0</v>
      </c>
      <c r="AC507" s="29">
        <f>IF(AQ507="1",BI507,0)</f>
        <v>0</v>
      </c>
      <c r="AD507" s="29">
        <f>IF(AQ507="7",BH507,0)</f>
        <v>0</v>
      </c>
      <c r="AE507" s="29">
        <f>IF(AQ507="7",BI507,0)</f>
        <v>0</v>
      </c>
      <c r="AF507" s="29">
        <f>IF(AQ507="2",BH507,0)</f>
        <v>0</v>
      </c>
      <c r="AG507" s="29">
        <f>IF(AQ507="2",BI507,0)</f>
        <v>0</v>
      </c>
      <c r="AH507" s="29">
        <f>IF(AQ507="0",BJ507,0)</f>
        <v>0</v>
      </c>
      <c r="AI507" s="11" t="s">
        <v>433</v>
      </c>
      <c r="AJ507" s="29">
        <f>IF(AN507=0,J507,0)</f>
        <v>0</v>
      </c>
      <c r="AK507" s="29">
        <f>IF(AN507=12,J507,0)</f>
        <v>0</v>
      </c>
      <c r="AL507" s="29">
        <f>IF(AN507=21,J507,0)</f>
        <v>0</v>
      </c>
      <c r="AN507" s="29">
        <v>21</v>
      </c>
      <c r="AO507" s="29">
        <f>G507*1</f>
        <v>0</v>
      </c>
      <c r="AP507" s="29">
        <f>G507*(1-1)</f>
        <v>0</v>
      </c>
      <c r="AQ507" s="31" t="s">
        <v>117</v>
      </c>
      <c r="AV507" s="29">
        <f>AW507+AX507</f>
        <v>0</v>
      </c>
      <c r="AW507" s="29">
        <f>F507*AO507</f>
        <v>0</v>
      </c>
      <c r="AX507" s="29">
        <f>F507*AP507</f>
        <v>0</v>
      </c>
      <c r="AY507" s="31" t="s">
        <v>861</v>
      </c>
      <c r="AZ507" s="31" t="s">
        <v>767</v>
      </c>
      <c r="BA507" s="11" t="s">
        <v>439</v>
      </c>
      <c r="BC507" s="29">
        <f>AW507+AX507</f>
        <v>0</v>
      </c>
      <c r="BD507" s="29">
        <f>G507/(100-BE507)*100</f>
        <v>0</v>
      </c>
      <c r="BE507" s="29">
        <v>0</v>
      </c>
      <c r="BF507" s="29">
        <f>507</f>
        <v>507</v>
      </c>
      <c r="BH507" s="29">
        <f>F507*AO507</f>
        <v>0</v>
      </c>
      <c r="BI507" s="29">
        <f>F507*AP507</f>
        <v>0</v>
      </c>
      <c r="BJ507" s="29">
        <f>F507*G507</f>
        <v>0</v>
      </c>
      <c r="BK507" s="29"/>
      <c r="BL507" s="29">
        <v>767</v>
      </c>
      <c r="BW507" s="29">
        <v>21</v>
      </c>
      <c r="BX507" s="5" t="s">
        <v>864</v>
      </c>
    </row>
    <row r="508" spans="1:76" ht="14.4" x14ac:dyDescent="0.3">
      <c r="A508" s="32"/>
      <c r="C508" s="33" t="s">
        <v>865</v>
      </c>
      <c r="D508" s="33" t="s">
        <v>76</v>
      </c>
      <c r="F508" s="34">
        <v>57</v>
      </c>
      <c r="K508" s="35"/>
    </row>
    <row r="509" spans="1:76" ht="14.4" x14ac:dyDescent="0.3">
      <c r="A509" s="32"/>
      <c r="C509" s="33" t="s">
        <v>865</v>
      </c>
      <c r="D509" s="33" t="s">
        <v>94</v>
      </c>
      <c r="F509" s="34">
        <v>57</v>
      </c>
      <c r="K509" s="35"/>
    </row>
    <row r="510" spans="1:76" ht="14.4" x14ac:dyDescent="0.3">
      <c r="A510" s="32"/>
      <c r="C510" s="33" t="s">
        <v>866</v>
      </c>
      <c r="D510" s="33" t="s">
        <v>77</v>
      </c>
      <c r="F510" s="34">
        <v>57.6</v>
      </c>
      <c r="K510" s="35"/>
    </row>
    <row r="511" spans="1:76" ht="14.4" x14ac:dyDescent="0.3">
      <c r="A511" s="2" t="s">
        <v>867</v>
      </c>
      <c r="B511" s="3" t="s">
        <v>868</v>
      </c>
      <c r="C511" s="87" t="s">
        <v>869</v>
      </c>
      <c r="D511" s="84"/>
      <c r="E511" s="3" t="s">
        <v>73</v>
      </c>
      <c r="F511" s="29">
        <v>2022.3</v>
      </c>
      <c r="G511" s="29">
        <v>0</v>
      </c>
      <c r="H511" s="29">
        <f>F511*AO511</f>
        <v>0</v>
      </c>
      <c r="I511" s="29">
        <f>F511*AP511</f>
        <v>0</v>
      </c>
      <c r="J511" s="29">
        <f>F511*G511</f>
        <v>0</v>
      </c>
      <c r="K511" s="30" t="s">
        <v>60</v>
      </c>
      <c r="Z511" s="29">
        <f>IF(AQ511="5",BJ511,0)</f>
        <v>0</v>
      </c>
      <c r="AB511" s="29">
        <f>IF(AQ511="1",BH511,0)</f>
        <v>0</v>
      </c>
      <c r="AC511" s="29">
        <f>IF(AQ511="1",BI511,0)</f>
        <v>0</v>
      </c>
      <c r="AD511" s="29">
        <f>IF(AQ511="7",BH511,0)</f>
        <v>0</v>
      </c>
      <c r="AE511" s="29">
        <f>IF(AQ511="7",BI511,0)</f>
        <v>0</v>
      </c>
      <c r="AF511" s="29">
        <f>IF(AQ511="2",BH511,0)</f>
        <v>0</v>
      </c>
      <c r="AG511" s="29">
        <f>IF(AQ511="2",BI511,0)</f>
        <v>0</v>
      </c>
      <c r="AH511" s="29">
        <f>IF(AQ511="0",BJ511,0)</f>
        <v>0</v>
      </c>
      <c r="AI511" s="11" t="s">
        <v>433</v>
      </c>
      <c r="AJ511" s="29">
        <f>IF(AN511=0,J511,0)</f>
        <v>0</v>
      </c>
      <c r="AK511" s="29">
        <f>IF(AN511=12,J511,0)</f>
        <v>0</v>
      </c>
      <c r="AL511" s="29">
        <f>IF(AN511=21,J511,0)</f>
        <v>0</v>
      </c>
      <c r="AN511" s="29">
        <v>21</v>
      </c>
      <c r="AO511" s="29">
        <f>G511*1</f>
        <v>0</v>
      </c>
      <c r="AP511" s="29">
        <f>G511*(1-1)</f>
        <v>0</v>
      </c>
      <c r="AQ511" s="31" t="s">
        <v>117</v>
      </c>
      <c r="AV511" s="29">
        <f>AW511+AX511</f>
        <v>0</v>
      </c>
      <c r="AW511" s="29">
        <f>F511*AO511</f>
        <v>0</v>
      </c>
      <c r="AX511" s="29">
        <f>F511*AP511</f>
        <v>0</v>
      </c>
      <c r="AY511" s="31" t="s">
        <v>861</v>
      </c>
      <c r="AZ511" s="31" t="s">
        <v>767</v>
      </c>
      <c r="BA511" s="11" t="s">
        <v>439</v>
      </c>
      <c r="BC511" s="29">
        <f>AW511+AX511</f>
        <v>0</v>
      </c>
      <c r="BD511" s="29">
        <f>G511/(100-BE511)*100</f>
        <v>0</v>
      </c>
      <c r="BE511" s="29">
        <v>0</v>
      </c>
      <c r="BF511" s="29">
        <f>511</f>
        <v>511</v>
      </c>
      <c r="BH511" s="29">
        <f>F511*AO511</f>
        <v>0</v>
      </c>
      <c r="BI511" s="29">
        <f>F511*AP511</f>
        <v>0</v>
      </c>
      <c r="BJ511" s="29">
        <f>F511*G511</f>
        <v>0</v>
      </c>
      <c r="BK511" s="29"/>
      <c r="BL511" s="29">
        <v>767</v>
      </c>
      <c r="BW511" s="29">
        <v>21</v>
      </c>
      <c r="BX511" s="5" t="s">
        <v>869</v>
      </c>
    </row>
    <row r="512" spans="1:76" ht="14.4" x14ac:dyDescent="0.3">
      <c r="A512" s="32"/>
      <c r="C512" s="33" t="s">
        <v>870</v>
      </c>
      <c r="D512" s="33" t="s">
        <v>871</v>
      </c>
      <c r="F512" s="34">
        <v>1926</v>
      </c>
      <c r="K512" s="35"/>
    </row>
    <row r="513" spans="1:76" ht="14.4" x14ac:dyDescent="0.3">
      <c r="A513" s="32"/>
      <c r="C513" s="33" t="s">
        <v>872</v>
      </c>
      <c r="D513" s="33" t="s">
        <v>51</v>
      </c>
      <c r="F513" s="34">
        <v>96.3</v>
      </c>
      <c r="K513" s="35"/>
    </row>
    <row r="514" spans="1:76" ht="14.4" x14ac:dyDescent="0.3">
      <c r="A514" s="2" t="s">
        <v>873</v>
      </c>
      <c r="B514" s="3" t="s">
        <v>874</v>
      </c>
      <c r="C514" s="87" t="s">
        <v>875</v>
      </c>
      <c r="D514" s="84"/>
      <c r="E514" s="3" t="s">
        <v>345</v>
      </c>
      <c r="F514" s="29">
        <v>1</v>
      </c>
      <c r="G514" s="29">
        <v>0</v>
      </c>
      <c r="H514" s="29">
        <f>F514*AO514</f>
        <v>0</v>
      </c>
      <c r="I514" s="29">
        <f>F514*AP514</f>
        <v>0</v>
      </c>
      <c r="J514" s="29">
        <f>F514*G514</f>
        <v>0</v>
      </c>
      <c r="K514" s="30" t="s">
        <v>60</v>
      </c>
      <c r="Z514" s="29">
        <f>IF(AQ514="5",BJ514,0)</f>
        <v>0</v>
      </c>
      <c r="AB514" s="29">
        <f>IF(AQ514="1",BH514,0)</f>
        <v>0</v>
      </c>
      <c r="AC514" s="29">
        <f>IF(AQ514="1",BI514,0)</f>
        <v>0</v>
      </c>
      <c r="AD514" s="29">
        <f>IF(AQ514="7",BH514,0)</f>
        <v>0</v>
      </c>
      <c r="AE514" s="29">
        <f>IF(AQ514="7",BI514,0)</f>
        <v>0</v>
      </c>
      <c r="AF514" s="29">
        <f>IF(AQ514="2",BH514,0)</f>
        <v>0</v>
      </c>
      <c r="AG514" s="29">
        <f>IF(AQ514="2",BI514,0)</f>
        <v>0</v>
      </c>
      <c r="AH514" s="29">
        <f>IF(AQ514="0",BJ514,0)</f>
        <v>0</v>
      </c>
      <c r="AI514" s="11" t="s">
        <v>433</v>
      </c>
      <c r="AJ514" s="29">
        <f>IF(AN514=0,J514,0)</f>
        <v>0</v>
      </c>
      <c r="AK514" s="29">
        <f>IF(AN514=12,J514,0)</f>
        <v>0</v>
      </c>
      <c r="AL514" s="29">
        <f>IF(AN514=21,J514,0)</f>
        <v>0</v>
      </c>
      <c r="AN514" s="29">
        <v>21</v>
      </c>
      <c r="AO514" s="29">
        <f>G514*1</f>
        <v>0</v>
      </c>
      <c r="AP514" s="29">
        <f>G514*(1-1)</f>
        <v>0</v>
      </c>
      <c r="AQ514" s="31" t="s">
        <v>117</v>
      </c>
      <c r="AV514" s="29">
        <f>AW514+AX514</f>
        <v>0</v>
      </c>
      <c r="AW514" s="29">
        <f>F514*AO514</f>
        <v>0</v>
      </c>
      <c r="AX514" s="29">
        <f>F514*AP514</f>
        <v>0</v>
      </c>
      <c r="AY514" s="31" t="s">
        <v>861</v>
      </c>
      <c r="AZ514" s="31" t="s">
        <v>767</v>
      </c>
      <c r="BA514" s="11" t="s">
        <v>439</v>
      </c>
      <c r="BC514" s="29">
        <f>AW514+AX514</f>
        <v>0</v>
      </c>
      <c r="BD514" s="29">
        <f>G514/(100-BE514)*100</f>
        <v>0</v>
      </c>
      <c r="BE514" s="29">
        <v>0</v>
      </c>
      <c r="BF514" s="29">
        <f>514</f>
        <v>514</v>
      </c>
      <c r="BH514" s="29">
        <f>F514*AO514</f>
        <v>0</v>
      </c>
      <c r="BI514" s="29">
        <f>F514*AP514</f>
        <v>0</v>
      </c>
      <c r="BJ514" s="29">
        <f>F514*G514</f>
        <v>0</v>
      </c>
      <c r="BK514" s="29"/>
      <c r="BL514" s="29">
        <v>767</v>
      </c>
      <c r="BW514" s="29">
        <v>21</v>
      </c>
      <c r="BX514" s="5" t="s">
        <v>875</v>
      </c>
    </row>
    <row r="515" spans="1:76" ht="14.4" x14ac:dyDescent="0.3">
      <c r="A515" s="2" t="s">
        <v>876</v>
      </c>
      <c r="B515" s="3" t="s">
        <v>877</v>
      </c>
      <c r="C515" s="87" t="s">
        <v>878</v>
      </c>
      <c r="D515" s="84"/>
      <c r="E515" s="3" t="s">
        <v>350</v>
      </c>
      <c r="F515" s="29">
        <v>4</v>
      </c>
      <c r="G515" s="29">
        <v>0</v>
      </c>
      <c r="H515" s="29">
        <f>F515*AO515</f>
        <v>0</v>
      </c>
      <c r="I515" s="29">
        <f>F515*AP515</f>
        <v>0</v>
      </c>
      <c r="J515" s="29">
        <f>F515*G515</f>
        <v>0</v>
      </c>
      <c r="K515" s="30" t="s">
        <v>351</v>
      </c>
      <c r="Z515" s="29">
        <f>IF(AQ515="5",BJ515,0)</f>
        <v>0</v>
      </c>
      <c r="AB515" s="29">
        <f>IF(AQ515="1",BH515,0)</f>
        <v>0</v>
      </c>
      <c r="AC515" s="29">
        <f>IF(AQ515="1",BI515,0)</f>
        <v>0</v>
      </c>
      <c r="AD515" s="29">
        <f>IF(AQ515="7",BH515,0)</f>
        <v>0</v>
      </c>
      <c r="AE515" s="29">
        <f>IF(AQ515="7",BI515,0)</f>
        <v>0</v>
      </c>
      <c r="AF515" s="29">
        <f>IF(AQ515="2",BH515,0)</f>
        <v>0</v>
      </c>
      <c r="AG515" s="29">
        <f>IF(AQ515="2",BI515,0)</f>
        <v>0</v>
      </c>
      <c r="AH515" s="29">
        <f>IF(AQ515="0",BJ515,0)</f>
        <v>0</v>
      </c>
      <c r="AI515" s="11" t="s">
        <v>433</v>
      </c>
      <c r="AJ515" s="29">
        <f>IF(AN515=0,J515,0)</f>
        <v>0</v>
      </c>
      <c r="AK515" s="29">
        <f>IF(AN515=12,J515,0)</f>
        <v>0</v>
      </c>
      <c r="AL515" s="29">
        <f>IF(AN515=21,J515,0)</f>
        <v>0</v>
      </c>
      <c r="AN515" s="29">
        <v>21</v>
      </c>
      <c r="AO515" s="29">
        <f>G515*0.132403566</f>
        <v>0</v>
      </c>
      <c r="AP515" s="29">
        <f>G515*(1-0.132403566)</f>
        <v>0</v>
      </c>
      <c r="AQ515" s="31" t="s">
        <v>117</v>
      </c>
      <c r="AV515" s="29">
        <f>AW515+AX515</f>
        <v>0</v>
      </c>
      <c r="AW515" s="29">
        <f>F515*AO515</f>
        <v>0</v>
      </c>
      <c r="AX515" s="29">
        <f>F515*AP515</f>
        <v>0</v>
      </c>
      <c r="AY515" s="31" t="s">
        <v>861</v>
      </c>
      <c r="AZ515" s="31" t="s">
        <v>767</v>
      </c>
      <c r="BA515" s="11" t="s">
        <v>439</v>
      </c>
      <c r="BC515" s="29">
        <f>AW515+AX515</f>
        <v>0</v>
      </c>
      <c r="BD515" s="29">
        <f>G515/(100-BE515)*100</f>
        <v>0</v>
      </c>
      <c r="BE515" s="29">
        <v>0</v>
      </c>
      <c r="BF515" s="29">
        <f>515</f>
        <v>515</v>
      </c>
      <c r="BH515" s="29">
        <f>F515*AO515</f>
        <v>0</v>
      </c>
      <c r="BI515" s="29">
        <f>F515*AP515</f>
        <v>0</v>
      </c>
      <c r="BJ515" s="29">
        <f>F515*G515</f>
        <v>0</v>
      </c>
      <c r="BK515" s="29"/>
      <c r="BL515" s="29">
        <v>767</v>
      </c>
      <c r="BW515" s="29">
        <v>21</v>
      </c>
      <c r="BX515" s="5" t="s">
        <v>878</v>
      </c>
    </row>
    <row r="516" spans="1:76" ht="14.4" x14ac:dyDescent="0.3">
      <c r="A516" s="2" t="s">
        <v>879</v>
      </c>
      <c r="B516" s="3" t="s">
        <v>880</v>
      </c>
      <c r="C516" s="87" t="s">
        <v>881</v>
      </c>
      <c r="D516" s="84"/>
      <c r="E516" s="3" t="s">
        <v>269</v>
      </c>
      <c r="F516" s="29">
        <v>3.1700000000000001E-3</v>
      </c>
      <c r="G516" s="29">
        <v>0</v>
      </c>
      <c r="H516" s="29">
        <f>F516*AO516</f>
        <v>0</v>
      </c>
      <c r="I516" s="29">
        <f>F516*AP516</f>
        <v>0</v>
      </c>
      <c r="J516" s="29">
        <f>F516*G516</f>
        <v>0</v>
      </c>
      <c r="K516" s="30" t="s">
        <v>60</v>
      </c>
      <c r="Z516" s="29">
        <f>IF(AQ516="5",BJ516,0)</f>
        <v>0</v>
      </c>
      <c r="AB516" s="29">
        <f>IF(AQ516="1",BH516,0)</f>
        <v>0</v>
      </c>
      <c r="AC516" s="29">
        <f>IF(AQ516="1",BI516,0)</f>
        <v>0</v>
      </c>
      <c r="AD516" s="29">
        <f>IF(AQ516="7",BH516,0)</f>
        <v>0</v>
      </c>
      <c r="AE516" s="29">
        <f>IF(AQ516="7",BI516,0)</f>
        <v>0</v>
      </c>
      <c r="AF516" s="29">
        <f>IF(AQ516="2",BH516,0)</f>
        <v>0</v>
      </c>
      <c r="AG516" s="29">
        <f>IF(AQ516="2",BI516,0)</f>
        <v>0</v>
      </c>
      <c r="AH516" s="29">
        <f>IF(AQ516="0",BJ516,0)</f>
        <v>0</v>
      </c>
      <c r="AI516" s="11" t="s">
        <v>433</v>
      </c>
      <c r="AJ516" s="29">
        <f>IF(AN516=0,J516,0)</f>
        <v>0</v>
      </c>
      <c r="AK516" s="29">
        <f>IF(AN516=12,J516,0)</f>
        <v>0</v>
      </c>
      <c r="AL516" s="29">
        <f>IF(AN516=21,J516,0)</f>
        <v>0</v>
      </c>
      <c r="AN516" s="29">
        <v>21</v>
      </c>
      <c r="AO516" s="29">
        <f>G516*1</f>
        <v>0</v>
      </c>
      <c r="AP516" s="29">
        <f>G516*(1-1)</f>
        <v>0</v>
      </c>
      <c r="AQ516" s="31" t="s">
        <v>117</v>
      </c>
      <c r="AV516" s="29">
        <f>AW516+AX516</f>
        <v>0</v>
      </c>
      <c r="AW516" s="29">
        <f>F516*AO516</f>
        <v>0</v>
      </c>
      <c r="AX516" s="29">
        <f>F516*AP516</f>
        <v>0</v>
      </c>
      <c r="AY516" s="31" t="s">
        <v>861</v>
      </c>
      <c r="AZ516" s="31" t="s">
        <v>767</v>
      </c>
      <c r="BA516" s="11" t="s">
        <v>439</v>
      </c>
      <c r="BC516" s="29">
        <f>AW516+AX516</f>
        <v>0</v>
      </c>
      <c r="BD516" s="29">
        <f>G516/(100-BE516)*100</f>
        <v>0</v>
      </c>
      <c r="BE516" s="29">
        <v>0</v>
      </c>
      <c r="BF516" s="29">
        <f>516</f>
        <v>516</v>
      </c>
      <c r="BH516" s="29">
        <f>F516*AO516</f>
        <v>0</v>
      </c>
      <c r="BI516" s="29">
        <f>F516*AP516</f>
        <v>0</v>
      </c>
      <c r="BJ516" s="29">
        <f>F516*G516</f>
        <v>0</v>
      </c>
      <c r="BK516" s="29"/>
      <c r="BL516" s="29">
        <v>767</v>
      </c>
      <c r="BW516" s="29">
        <v>21</v>
      </c>
      <c r="BX516" s="5" t="s">
        <v>881</v>
      </c>
    </row>
    <row r="517" spans="1:76" ht="14.4" x14ac:dyDescent="0.3">
      <c r="A517" s="32"/>
      <c r="C517" s="33" t="s">
        <v>882</v>
      </c>
      <c r="D517" s="33" t="s">
        <v>883</v>
      </c>
      <c r="F517" s="34">
        <v>3.1700000000000001E-3</v>
      </c>
      <c r="K517" s="35"/>
    </row>
    <row r="518" spans="1:76" ht="14.4" x14ac:dyDescent="0.3">
      <c r="A518" s="32"/>
      <c r="C518" s="33" t="s">
        <v>51</v>
      </c>
      <c r="D518" s="33" t="s">
        <v>884</v>
      </c>
      <c r="F518" s="34">
        <v>0</v>
      </c>
      <c r="K518" s="35"/>
    </row>
    <row r="519" spans="1:76" ht="14.4" x14ac:dyDescent="0.3">
      <c r="A519" s="2" t="s">
        <v>885</v>
      </c>
      <c r="B519" s="3" t="s">
        <v>886</v>
      </c>
      <c r="C519" s="87" t="s">
        <v>887</v>
      </c>
      <c r="D519" s="84"/>
      <c r="E519" s="3" t="s">
        <v>103</v>
      </c>
      <c r="F519" s="29">
        <v>9</v>
      </c>
      <c r="G519" s="29">
        <v>0</v>
      </c>
      <c r="H519" s="29">
        <f>F519*AO519</f>
        <v>0</v>
      </c>
      <c r="I519" s="29">
        <f>F519*AP519</f>
        <v>0</v>
      </c>
      <c r="J519" s="29">
        <f>F519*G519</f>
        <v>0</v>
      </c>
      <c r="K519" s="30" t="s">
        <v>250</v>
      </c>
      <c r="Z519" s="29">
        <f>IF(AQ519="5",BJ519,0)</f>
        <v>0</v>
      </c>
      <c r="AB519" s="29">
        <f>IF(AQ519="1",BH519,0)</f>
        <v>0</v>
      </c>
      <c r="AC519" s="29">
        <f>IF(AQ519="1",BI519,0)</f>
        <v>0</v>
      </c>
      <c r="AD519" s="29">
        <f>IF(AQ519="7",BH519,0)</f>
        <v>0</v>
      </c>
      <c r="AE519" s="29">
        <f>IF(AQ519="7",BI519,0)</f>
        <v>0</v>
      </c>
      <c r="AF519" s="29">
        <f>IF(AQ519="2",BH519,0)</f>
        <v>0</v>
      </c>
      <c r="AG519" s="29">
        <f>IF(AQ519="2",BI519,0)</f>
        <v>0</v>
      </c>
      <c r="AH519" s="29">
        <f>IF(AQ519="0",BJ519,0)</f>
        <v>0</v>
      </c>
      <c r="AI519" s="11" t="s">
        <v>433</v>
      </c>
      <c r="AJ519" s="29">
        <f>IF(AN519=0,J519,0)</f>
        <v>0</v>
      </c>
      <c r="AK519" s="29">
        <f>IF(AN519=12,J519,0)</f>
        <v>0</v>
      </c>
      <c r="AL519" s="29">
        <f>IF(AN519=21,J519,0)</f>
        <v>0</v>
      </c>
      <c r="AN519" s="29">
        <v>21</v>
      </c>
      <c r="AO519" s="29">
        <f>G519*1</f>
        <v>0</v>
      </c>
      <c r="AP519" s="29">
        <f>G519*(1-1)</f>
        <v>0</v>
      </c>
      <c r="AQ519" s="31" t="s">
        <v>117</v>
      </c>
      <c r="AV519" s="29">
        <f>AW519+AX519</f>
        <v>0</v>
      </c>
      <c r="AW519" s="29">
        <f>F519*AO519</f>
        <v>0</v>
      </c>
      <c r="AX519" s="29">
        <f>F519*AP519</f>
        <v>0</v>
      </c>
      <c r="AY519" s="31" t="s">
        <v>861</v>
      </c>
      <c r="AZ519" s="31" t="s">
        <v>767</v>
      </c>
      <c r="BA519" s="11" t="s">
        <v>439</v>
      </c>
      <c r="BC519" s="29">
        <f>AW519+AX519</f>
        <v>0</v>
      </c>
      <c r="BD519" s="29">
        <f>G519/(100-BE519)*100</f>
        <v>0</v>
      </c>
      <c r="BE519" s="29">
        <v>0</v>
      </c>
      <c r="BF519" s="29">
        <f>519</f>
        <v>519</v>
      </c>
      <c r="BH519" s="29">
        <f>F519*AO519</f>
        <v>0</v>
      </c>
      <c r="BI519" s="29">
        <f>F519*AP519</f>
        <v>0</v>
      </c>
      <c r="BJ519" s="29">
        <f>F519*G519</f>
        <v>0</v>
      </c>
      <c r="BK519" s="29"/>
      <c r="BL519" s="29">
        <v>767</v>
      </c>
      <c r="BW519" s="29">
        <v>21</v>
      </c>
      <c r="BX519" s="5" t="s">
        <v>887</v>
      </c>
    </row>
    <row r="520" spans="1:76" ht="14.4" x14ac:dyDescent="0.3">
      <c r="A520" s="32"/>
      <c r="C520" s="33" t="s">
        <v>104</v>
      </c>
      <c r="D520" s="33" t="s">
        <v>888</v>
      </c>
      <c r="F520" s="34">
        <v>9</v>
      </c>
      <c r="K520" s="35"/>
    </row>
    <row r="521" spans="1:76" ht="14.4" x14ac:dyDescent="0.3">
      <c r="A521" s="2" t="s">
        <v>889</v>
      </c>
      <c r="B521" s="3" t="s">
        <v>890</v>
      </c>
      <c r="C521" s="87" t="s">
        <v>891</v>
      </c>
      <c r="D521" s="84"/>
      <c r="E521" s="3" t="s">
        <v>892</v>
      </c>
      <c r="F521" s="29">
        <v>312</v>
      </c>
      <c r="G521" s="29">
        <v>0</v>
      </c>
      <c r="H521" s="29">
        <f>F521*AO521</f>
        <v>0</v>
      </c>
      <c r="I521" s="29">
        <f>F521*AP521</f>
        <v>0</v>
      </c>
      <c r="J521" s="29">
        <f>F521*G521</f>
        <v>0</v>
      </c>
      <c r="K521" s="30" t="s">
        <v>60</v>
      </c>
      <c r="Z521" s="29">
        <f>IF(AQ521="5",BJ521,0)</f>
        <v>0</v>
      </c>
      <c r="AB521" s="29">
        <f>IF(AQ521="1",BH521,0)</f>
        <v>0</v>
      </c>
      <c r="AC521" s="29">
        <f>IF(AQ521="1",BI521,0)</f>
        <v>0</v>
      </c>
      <c r="AD521" s="29">
        <f>IF(AQ521="7",BH521,0)</f>
        <v>0</v>
      </c>
      <c r="AE521" s="29">
        <f>IF(AQ521="7",BI521,0)</f>
        <v>0</v>
      </c>
      <c r="AF521" s="29">
        <f>IF(AQ521="2",BH521,0)</f>
        <v>0</v>
      </c>
      <c r="AG521" s="29">
        <f>IF(AQ521="2",BI521,0)</f>
        <v>0</v>
      </c>
      <c r="AH521" s="29">
        <f>IF(AQ521="0",BJ521,0)</f>
        <v>0</v>
      </c>
      <c r="AI521" s="11" t="s">
        <v>433</v>
      </c>
      <c r="AJ521" s="29">
        <f>IF(AN521=0,J521,0)</f>
        <v>0</v>
      </c>
      <c r="AK521" s="29">
        <f>IF(AN521=12,J521,0)</f>
        <v>0</v>
      </c>
      <c r="AL521" s="29">
        <f>IF(AN521=21,J521,0)</f>
        <v>0</v>
      </c>
      <c r="AN521" s="29">
        <v>21</v>
      </c>
      <c r="AO521" s="29">
        <f>G521*0.217697228</f>
        <v>0</v>
      </c>
      <c r="AP521" s="29">
        <f>G521*(1-0.217697228)</f>
        <v>0</v>
      </c>
      <c r="AQ521" s="31" t="s">
        <v>117</v>
      </c>
      <c r="AV521" s="29">
        <f>AW521+AX521</f>
        <v>0</v>
      </c>
      <c r="AW521" s="29">
        <f>F521*AO521</f>
        <v>0</v>
      </c>
      <c r="AX521" s="29">
        <f>F521*AP521</f>
        <v>0</v>
      </c>
      <c r="AY521" s="31" t="s">
        <v>861</v>
      </c>
      <c r="AZ521" s="31" t="s">
        <v>767</v>
      </c>
      <c r="BA521" s="11" t="s">
        <v>439</v>
      </c>
      <c r="BC521" s="29">
        <f>AW521+AX521</f>
        <v>0</v>
      </c>
      <c r="BD521" s="29">
        <f>G521/(100-BE521)*100</f>
        <v>0</v>
      </c>
      <c r="BE521" s="29">
        <v>0</v>
      </c>
      <c r="BF521" s="29">
        <f>521</f>
        <v>521</v>
      </c>
      <c r="BH521" s="29">
        <f>F521*AO521</f>
        <v>0</v>
      </c>
      <c r="BI521" s="29">
        <f>F521*AP521</f>
        <v>0</v>
      </c>
      <c r="BJ521" s="29">
        <f>F521*G521</f>
        <v>0</v>
      </c>
      <c r="BK521" s="29"/>
      <c r="BL521" s="29">
        <v>767</v>
      </c>
      <c r="BW521" s="29">
        <v>21</v>
      </c>
      <c r="BX521" s="5" t="s">
        <v>891</v>
      </c>
    </row>
    <row r="522" spans="1:76" ht="14.4" x14ac:dyDescent="0.3">
      <c r="A522" s="32"/>
      <c r="C522" s="33" t="s">
        <v>893</v>
      </c>
      <c r="D522" s="33" t="s">
        <v>894</v>
      </c>
      <c r="F522" s="34">
        <v>196</v>
      </c>
      <c r="K522" s="35"/>
    </row>
    <row r="523" spans="1:76" ht="14.4" x14ac:dyDescent="0.3">
      <c r="A523" s="32"/>
      <c r="C523" s="33" t="s">
        <v>704</v>
      </c>
      <c r="D523" s="33" t="s">
        <v>895</v>
      </c>
      <c r="F523" s="34">
        <v>116</v>
      </c>
      <c r="K523" s="35"/>
    </row>
    <row r="524" spans="1:76" ht="14.4" x14ac:dyDescent="0.3">
      <c r="A524" s="2" t="s">
        <v>896</v>
      </c>
      <c r="B524" s="3" t="s">
        <v>897</v>
      </c>
      <c r="C524" s="87" t="s">
        <v>898</v>
      </c>
      <c r="D524" s="84"/>
      <c r="E524" s="3" t="s">
        <v>269</v>
      </c>
      <c r="F524" s="29">
        <v>0.19583999999999999</v>
      </c>
      <c r="G524" s="29">
        <v>0</v>
      </c>
      <c r="H524" s="29">
        <f>F524*AO524</f>
        <v>0</v>
      </c>
      <c r="I524" s="29">
        <f>F524*AP524</f>
        <v>0</v>
      </c>
      <c r="J524" s="29">
        <f>F524*G524</f>
        <v>0</v>
      </c>
      <c r="K524" s="30" t="s">
        <v>250</v>
      </c>
      <c r="Z524" s="29">
        <f>IF(AQ524="5",BJ524,0)</f>
        <v>0</v>
      </c>
      <c r="AB524" s="29">
        <f>IF(AQ524="1",BH524,0)</f>
        <v>0</v>
      </c>
      <c r="AC524" s="29">
        <f>IF(AQ524="1",BI524,0)</f>
        <v>0</v>
      </c>
      <c r="AD524" s="29">
        <f>IF(AQ524="7",BH524,0)</f>
        <v>0</v>
      </c>
      <c r="AE524" s="29">
        <f>IF(AQ524="7",BI524,0)</f>
        <v>0</v>
      </c>
      <c r="AF524" s="29">
        <f>IF(AQ524="2",BH524,0)</f>
        <v>0</v>
      </c>
      <c r="AG524" s="29">
        <f>IF(AQ524="2",BI524,0)</f>
        <v>0</v>
      </c>
      <c r="AH524" s="29">
        <f>IF(AQ524="0",BJ524,0)</f>
        <v>0</v>
      </c>
      <c r="AI524" s="11" t="s">
        <v>433</v>
      </c>
      <c r="AJ524" s="29">
        <f>IF(AN524=0,J524,0)</f>
        <v>0</v>
      </c>
      <c r="AK524" s="29">
        <f>IF(AN524=12,J524,0)</f>
        <v>0</v>
      </c>
      <c r="AL524" s="29">
        <f>IF(AN524=21,J524,0)</f>
        <v>0</v>
      </c>
      <c r="AN524" s="29">
        <v>21</v>
      </c>
      <c r="AO524" s="29">
        <f>G524*1</f>
        <v>0</v>
      </c>
      <c r="AP524" s="29">
        <f>G524*(1-1)</f>
        <v>0</v>
      </c>
      <c r="AQ524" s="31" t="s">
        <v>117</v>
      </c>
      <c r="AV524" s="29">
        <f>AW524+AX524</f>
        <v>0</v>
      </c>
      <c r="AW524" s="29">
        <f>F524*AO524</f>
        <v>0</v>
      </c>
      <c r="AX524" s="29">
        <f>F524*AP524</f>
        <v>0</v>
      </c>
      <c r="AY524" s="31" t="s">
        <v>861</v>
      </c>
      <c r="AZ524" s="31" t="s">
        <v>767</v>
      </c>
      <c r="BA524" s="11" t="s">
        <v>439</v>
      </c>
      <c r="BC524" s="29">
        <f>AW524+AX524</f>
        <v>0</v>
      </c>
      <c r="BD524" s="29">
        <f>G524/(100-BE524)*100</f>
        <v>0</v>
      </c>
      <c r="BE524" s="29">
        <v>0</v>
      </c>
      <c r="BF524" s="29">
        <f>524</f>
        <v>524</v>
      </c>
      <c r="BH524" s="29">
        <f>F524*AO524</f>
        <v>0</v>
      </c>
      <c r="BI524" s="29">
        <f>F524*AP524</f>
        <v>0</v>
      </c>
      <c r="BJ524" s="29">
        <f>F524*G524</f>
        <v>0</v>
      </c>
      <c r="BK524" s="29"/>
      <c r="BL524" s="29">
        <v>767</v>
      </c>
      <c r="BW524" s="29">
        <v>21</v>
      </c>
      <c r="BX524" s="5" t="s">
        <v>898</v>
      </c>
    </row>
    <row r="525" spans="1:76" ht="14.4" x14ac:dyDescent="0.3">
      <c r="A525" s="32"/>
      <c r="C525" s="33" t="s">
        <v>899</v>
      </c>
      <c r="D525" s="33" t="s">
        <v>900</v>
      </c>
      <c r="F525" s="34">
        <v>0.19583999999999999</v>
      </c>
      <c r="K525" s="35"/>
    </row>
    <row r="526" spans="1:76" ht="14.4" x14ac:dyDescent="0.3">
      <c r="A526" s="2" t="s">
        <v>901</v>
      </c>
      <c r="B526" s="3" t="s">
        <v>902</v>
      </c>
      <c r="C526" s="87" t="s">
        <v>903</v>
      </c>
      <c r="D526" s="84"/>
      <c r="E526" s="3" t="s">
        <v>269</v>
      </c>
      <c r="F526" s="29">
        <v>0.11666</v>
      </c>
      <c r="G526" s="29">
        <v>0</v>
      </c>
      <c r="H526" s="29">
        <f>F526*AO526</f>
        <v>0</v>
      </c>
      <c r="I526" s="29">
        <f>F526*AP526</f>
        <v>0</v>
      </c>
      <c r="J526" s="29">
        <f>F526*G526</f>
        <v>0</v>
      </c>
      <c r="K526" s="30" t="s">
        <v>60</v>
      </c>
      <c r="Z526" s="29">
        <f>IF(AQ526="5",BJ526,0)</f>
        <v>0</v>
      </c>
      <c r="AB526" s="29">
        <f>IF(AQ526="1",BH526,0)</f>
        <v>0</v>
      </c>
      <c r="AC526" s="29">
        <f>IF(AQ526="1",BI526,0)</f>
        <v>0</v>
      </c>
      <c r="AD526" s="29">
        <f>IF(AQ526="7",BH526,0)</f>
        <v>0</v>
      </c>
      <c r="AE526" s="29">
        <f>IF(AQ526="7",BI526,0)</f>
        <v>0</v>
      </c>
      <c r="AF526" s="29">
        <f>IF(AQ526="2",BH526,0)</f>
        <v>0</v>
      </c>
      <c r="AG526" s="29">
        <f>IF(AQ526="2",BI526,0)</f>
        <v>0</v>
      </c>
      <c r="AH526" s="29">
        <f>IF(AQ526="0",BJ526,0)</f>
        <v>0</v>
      </c>
      <c r="AI526" s="11" t="s">
        <v>433</v>
      </c>
      <c r="AJ526" s="29">
        <f>IF(AN526=0,J526,0)</f>
        <v>0</v>
      </c>
      <c r="AK526" s="29">
        <f>IF(AN526=12,J526,0)</f>
        <v>0</v>
      </c>
      <c r="AL526" s="29">
        <f>IF(AN526=21,J526,0)</f>
        <v>0</v>
      </c>
      <c r="AN526" s="29">
        <v>21</v>
      </c>
      <c r="AO526" s="29">
        <f>G526*1</f>
        <v>0</v>
      </c>
      <c r="AP526" s="29">
        <f>G526*(1-1)</f>
        <v>0</v>
      </c>
      <c r="AQ526" s="31" t="s">
        <v>117</v>
      </c>
      <c r="AV526" s="29">
        <f>AW526+AX526</f>
        <v>0</v>
      </c>
      <c r="AW526" s="29">
        <f>F526*AO526</f>
        <v>0</v>
      </c>
      <c r="AX526" s="29">
        <f>F526*AP526</f>
        <v>0</v>
      </c>
      <c r="AY526" s="31" t="s">
        <v>861</v>
      </c>
      <c r="AZ526" s="31" t="s">
        <v>767</v>
      </c>
      <c r="BA526" s="11" t="s">
        <v>439</v>
      </c>
      <c r="BC526" s="29">
        <f>AW526+AX526</f>
        <v>0</v>
      </c>
      <c r="BD526" s="29">
        <f>G526/(100-BE526)*100</f>
        <v>0</v>
      </c>
      <c r="BE526" s="29">
        <v>0</v>
      </c>
      <c r="BF526" s="29">
        <f>526</f>
        <v>526</v>
      </c>
      <c r="BH526" s="29">
        <f>F526*AO526</f>
        <v>0</v>
      </c>
      <c r="BI526" s="29">
        <f>F526*AP526</f>
        <v>0</v>
      </c>
      <c r="BJ526" s="29">
        <f>F526*G526</f>
        <v>0</v>
      </c>
      <c r="BK526" s="29"/>
      <c r="BL526" s="29">
        <v>767</v>
      </c>
      <c r="BW526" s="29">
        <v>21</v>
      </c>
      <c r="BX526" s="5" t="s">
        <v>903</v>
      </c>
    </row>
    <row r="527" spans="1:76" ht="14.4" x14ac:dyDescent="0.3">
      <c r="A527" s="32"/>
      <c r="C527" s="33" t="s">
        <v>904</v>
      </c>
      <c r="D527" s="33" t="s">
        <v>905</v>
      </c>
      <c r="F527" s="34">
        <v>0.11666</v>
      </c>
      <c r="K527" s="35"/>
    </row>
    <row r="528" spans="1:76" ht="14.4" x14ac:dyDescent="0.3">
      <c r="A528" s="32"/>
      <c r="C528" s="33" t="s">
        <v>51</v>
      </c>
      <c r="D528" s="33" t="s">
        <v>906</v>
      </c>
      <c r="F528" s="34">
        <v>0</v>
      </c>
      <c r="K528" s="35"/>
    </row>
    <row r="529" spans="1:76" ht="26.4" x14ac:dyDescent="0.3">
      <c r="A529" s="2" t="s">
        <v>907</v>
      </c>
      <c r="B529" s="3" t="s">
        <v>908</v>
      </c>
      <c r="C529" s="87" t="s">
        <v>909</v>
      </c>
      <c r="D529" s="84"/>
      <c r="E529" s="3" t="s">
        <v>59</v>
      </c>
      <c r="F529" s="29">
        <v>35.75</v>
      </c>
      <c r="G529" s="29">
        <v>0</v>
      </c>
      <c r="H529" s="29">
        <f>F529*AO529</f>
        <v>0</v>
      </c>
      <c r="I529" s="29">
        <f>F529*AP529</f>
        <v>0</v>
      </c>
      <c r="J529" s="29">
        <f>F529*G529</f>
        <v>0</v>
      </c>
      <c r="K529" s="30" t="s">
        <v>60</v>
      </c>
      <c r="Z529" s="29">
        <f>IF(AQ529="5",BJ529,0)</f>
        <v>0</v>
      </c>
      <c r="AB529" s="29">
        <f>IF(AQ529="1",BH529,0)</f>
        <v>0</v>
      </c>
      <c r="AC529" s="29">
        <f>IF(AQ529="1",BI529,0)</f>
        <v>0</v>
      </c>
      <c r="AD529" s="29">
        <f>IF(AQ529="7",BH529,0)</f>
        <v>0</v>
      </c>
      <c r="AE529" s="29">
        <f>IF(AQ529="7",BI529,0)</f>
        <v>0</v>
      </c>
      <c r="AF529" s="29">
        <f>IF(AQ529="2",BH529,0)</f>
        <v>0</v>
      </c>
      <c r="AG529" s="29">
        <f>IF(AQ529="2",BI529,0)</f>
        <v>0</v>
      </c>
      <c r="AH529" s="29">
        <f>IF(AQ529="0",BJ529,0)</f>
        <v>0</v>
      </c>
      <c r="AI529" s="11" t="s">
        <v>433</v>
      </c>
      <c r="AJ529" s="29">
        <f>IF(AN529=0,J529,0)</f>
        <v>0</v>
      </c>
      <c r="AK529" s="29">
        <f>IF(AN529=12,J529,0)</f>
        <v>0</v>
      </c>
      <c r="AL529" s="29">
        <f>IF(AN529=21,J529,0)</f>
        <v>0</v>
      </c>
      <c r="AN529" s="29">
        <v>21</v>
      </c>
      <c r="AO529" s="29">
        <f>G529*0.734406439</f>
        <v>0</v>
      </c>
      <c r="AP529" s="29">
        <f>G529*(1-0.734406439)</f>
        <v>0</v>
      </c>
      <c r="AQ529" s="31" t="s">
        <v>117</v>
      </c>
      <c r="AV529" s="29">
        <f>AW529+AX529</f>
        <v>0</v>
      </c>
      <c r="AW529" s="29">
        <f>F529*AO529</f>
        <v>0</v>
      </c>
      <c r="AX529" s="29">
        <f>F529*AP529</f>
        <v>0</v>
      </c>
      <c r="AY529" s="31" t="s">
        <v>861</v>
      </c>
      <c r="AZ529" s="31" t="s">
        <v>767</v>
      </c>
      <c r="BA529" s="11" t="s">
        <v>439</v>
      </c>
      <c r="BC529" s="29">
        <f>AW529+AX529</f>
        <v>0</v>
      </c>
      <c r="BD529" s="29">
        <f>G529/(100-BE529)*100</f>
        <v>0</v>
      </c>
      <c r="BE529" s="29">
        <v>0</v>
      </c>
      <c r="BF529" s="29">
        <f>529</f>
        <v>529</v>
      </c>
      <c r="BH529" s="29">
        <f>F529*AO529</f>
        <v>0</v>
      </c>
      <c r="BI529" s="29">
        <f>F529*AP529</f>
        <v>0</v>
      </c>
      <c r="BJ529" s="29">
        <f>F529*G529</f>
        <v>0</v>
      </c>
      <c r="BK529" s="29"/>
      <c r="BL529" s="29">
        <v>767</v>
      </c>
      <c r="BW529" s="29">
        <v>21</v>
      </c>
      <c r="BX529" s="5" t="s">
        <v>909</v>
      </c>
    </row>
    <row r="530" spans="1:76" ht="14.4" x14ac:dyDescent="0.3">
      <c r="A530" s="32"/>
      <c r="C530" s="33" t="s">
        <v>910</v>
      </c>
      <c r="D530" s="33" t="s">
        <v>51</v>
      </c>
      <c r="F530" s="34">
        <v>17.875</v>
      </c>
      <c r="K530" s="35"/>
    </row>
    <row r="531" spans="1:76" ht="14.4" x14ac:dyDescent="0.3">
      <c r="A531" s="32"/>
      <c r="C531" s="33" t="s">
        <v>910</v>
      </c>
      <c r="D531" s="33" t="s">
        <v>51</v>
      </c>
      <c r="F531" s="34">
        <v>17.875</v>
      </c>
      <c r="K531" s="35"/>
    </row>
    <row r="532" spans="1:76" ht="14.4" x14ac:dyDescent="0.3">
      <c r="A532" s="2" t="s">
        <v>911</v>
      </c>
      <c r="B532" s="3" t="s">
        <v>912</v>
      </c>
      <c r="C532" s="87" t="s">
        <v>913</v>
      </c>
      <c r="D532" s="84"/>
      <c r="E532" s="3" t="s">
        <v>892</v>
      </c>
      <c r="F532" s="29">
        <v>1425.6</v>
      </c>
      <c r="G532" s="29">
        <v>0</v>
      </c>
      <c r="H532" s="29">
        <f>F532*AO532</f>
        <v>0</v>
      </c>
      <c r="I532" s="29">
        <f>F532*AP532</f>
        <v>0</v>
      </c>
      <c r="J532" s="29">
        <f>F532*G532</f>
        <v>0</v>
      </c>
      <c r="K532" s="30" t="s">
        <v>60</v>
      </c>
      <c r="Z532" s="29">
        <f>IF(AQ532="5",BJ532,0)</f>
        <v>0</v>
      </c>
      <c r="AB532" s="29">
        <f>IF(AQ532="1",BH532,0)</f>
        <v>0</v>
      </c>
      <c r="AC532" s="29">
        <f>IF(AQ532="1",BI532,0)</f>
        <v>0</v>
      </c>
      <c r="AD532" s="29">
        <f>IF(AQ532="7",BH532,0)</f>
        <v>0</v>
      </c>
      <c r="AE532" s="29">
        <f>IF(AQ532="7",BI532,0)</f>
        <v>0</v>
      </c>
      <c r="AF532" s="29">
        <f>IF(AQ532="2",BH532,0)</f>
        <v>0</v>
      </c>
      <c r="AG532" s="29">
        <f>IF(AQ532="2",BI532,0)</f>
        <v>0</v>
      </c>
      <c r="AH532" s="29">
        <f>IF(AQ532="0",BJ532,0)</f>
        <v>0</v>
      </c>
      <c r="AI532" s="11" t="s">
        <v>433</v>
      </c>
      <c r="AJ532" s="29">
        <f>IF(AN532=0,J532,0)</f>
        <v>0</v>
      </c>
      <c r="AK532" s="29">
        <f>IF(AN532=12,J532,0)</f>
        <v>0</v>
      </c>
      <c r="AL532" s="29">
        <f>IF(AN532=21,J532,0)</f>
        <v>0</v>
      </c>
      <c r="AN532" s="29">
        <v>21</v>
      </c>
      <c r="AO532" s="29">
        <f>G532*0.275</f>
        <v>0</v>
      </c>
      <c r="AP532" s="29">
        <f>G532*(1-0.275)</f>
        <v>0</v>
      </c>
      <c r="AQ532" s="31" t="s">
        <v>117</v>
      </c>
      <c r="AV532" s="29">
        <f>AW532+AX532</f>
        <v>0</v>
      </c>
      <c r="AW532" s="29">
        <f>F532*AO532</f>
        <v>0</v>
      </c>
      <c r="AX532" s="29">
        <f>F532*AP532</f>
        <v>0</v>
      </c>
      <c r="AY532" s="31" t="s">
        <v>861</v>
      </c>
      <c r="AZ532" s="31" t="s">
        <v>767</v>
      </c>
      <c r="BA532" s="11" t="s">
        <v>439</v>
      </c>
      <c r="BC532" s="29">
        <f>AW532+AX532</f>
        <v>0</v>
      </c>
      <c r="BD532" s="29">
        <f>G532/(100-BE532)*100</f>
        <v>0</v>
      </c>
      <c r="BE532" s="29">
        <v>0</v>
      </c>
      <c r="BF532" s="29">
        <f>532</f>
        <v>532</v>
      </c>
      <c r="BH532" s="29">
        <f>F532*AO532</f>
        <v>0</v>
      </c>
      <c r="BI532" s="29">
        <f>F532*AP532</f>
        <v>0</v>
      </c>
      <c r="BJ532" s="29">
        <f>F532*G532</f>
        <v>0</v>
      </c>
      <c r="BK532" s="29"/>
      <c r="BL532" s="29">
        <v>767</v>
      </c>
      <c r="BW532" s="29">
        <v>21</v>
      </c>
      <c r="BX532" s="5" t="s">
        <v>913</v>
      </c>
    </row>
    <row r="533" spans="1:76" ht="14.4" x14ac:dyDescent="0.3">
      <c r="A533" s="32"/>
      <c r="C533" s="33" t="s">
        <v>914</v>
      </c>
      <c r="D533" s="33" t="s">
        <v>915</v>
      </c>
      <c r="F533" s="34">
        <v>704</v>
      </c>
      <c r="K533" s="35"/>
    </row>
    <row r="534" spans="1:76" ht="14.4" x14ac:dyDescent="0.3">
      <c r="A534" s="32"/>
      <c r="C534" s="33" t="s">
        <v>916</v>
      </c>
      <c r="D534" s="33" t="s">
        <v>917</v>
      </c>
      <c r="F534" s="34">
        <v>721.6</v>
      </c>
      <c r="K534" s="35"/>
    </row>
    <row r="535" spans="1:76" ht="14.4" x14ac:dyDescent="0.3">
      <c r="A535" s="2" t="s">
        <v>918</v>
      </c>
      <c r="B535" s="3" t="s">
        <v>919</v>
      </c>
      <c r="C535" s="87" t="s">
        <v>920</v>
      </c>
      <c r="D535" s="84"/>
      <c r="E535" s="3" t="s">
        <v>269</v>
      </c>
      <c r="F535" s="29">
        <v>0.70387</v>
      </c>
      <c r="G535" s="29">
        <v>0</v>
      </c>
      <c r="H535" s="29">
        <f>F535*AO535</f>
        <v>0</v>
      </c>
      <c r="I535" s="29">
        <f>F535*AP535</f>
        <v>0</v>
      </c>
      <c r="J535" s="29">
        <f>F535*G535</f>
        <v>0</v>
      </c>
      <c r="K535" s="30" t="s">
        <v>60</v>
      </c>
      <c r="Z535" s="29">
        <f>IF(AQ535="5",BJ535,0)</f>
        <v>0</v>
      </c>
      <c r="AB535" s="29">
        <f>IF(AQ535="1",BH535,0)</f>
        <v>0</v>
      </c>
      <c r="AC535" s="29">
        <f>IF(AQ535="1",BI535,0)</f>
        <v>0</v>
      </c>
      <c r="AD535" s="29">
        <f>IF(AQ535="7",BH535,0)</f>
        <v>0</v>
      </c>
      <c r="AE535" s="29">
        <f>IF(AQ535="7",BI535,0)</f>
        <v>0</v>
      </c>
      <c r="AF535" s="29">
        <f>IF(AQ535="2",BH535,0)</f>
        <v>0</v>
      </c>
      <c r="AG535" s="29">
        <f>IF(AQ535="2",BI535,0)</f>
        <v>0</v>
      </c>
      <c r="AH535" s="29">
        <f>IF(AQ535="0",BJ535,0)</f>
        <v>0</v>
      </c>
      <c r="AI535" s="11" t="s">
        <v>433</v>
      </c>
      <c r="AJ535" s="29">
        <f>IF(AN535=0,J535,0)</f>
        <v>0</v>
      </c>
      <c r="AK535" s="29">
        <f>IF(AN535=12,J535,0)</f>
        <v>0</v>
      </c>
      <c r="AL535" s="29">
        <f>IF(AN535=21,J535,0)</f>
        <v>0</v>
      </c>
      <c r="AN535" s="29">
        <v>21</v>
      </c>
      <c r="AO535" s="29">
        <f>G535*1</f>
        <v>0</v>
      </c>
      <c r="AP535" s="29">
        <f>G535*(1-1)</f>
        <v>0</v>
      </c>
      <c r="AQ535" s="31" t="s">
        <v>117</v>
      </c>
      <c r="AV535" s="29">
        <f>AW535+AX535</f>
        <v>0</v>
      </c>
      <c r="AW535" s="29">
        <f>F535*AO535</f>
        <v>0</v>
      </c>
      <c r="AX535" s="29">
        <f>F535*AP535</f>
        <v>0</v>
      </c>
      <c r="AY535" s="31" t="s">
        <v>861</v>
      </c>
      <c r="AZ535" s="31" t="s">
        <v>767</v>
      </c>
      <c r="BA535" s="11" t="s">
        <v>439</v>
      </c>
      <c r="BC535" s="29">
        <f>AW535+AX535</f>
        <v>0</v>
      </c>
      <c r="BD535" s="29">
        <f>G535/(100-BE535)*100</f>
        <v>0</v>
      </c>
      <c r="BE535" s="29">
        <v>0</v>
      </c>
      <c r="BF535" s="29">
        <f>535</f>
        <v>535</v>
      </c>
      <c r="BH535" s="29">
        <f>F535*AO535</f>
        <v>0</v>
      </c>
      <c r="BI535" s="29">
        <f>F535*AP535</f>
        <v>0</v>
      </c>
      <c r="BJ535" s="29">
        <f>F535*G535</f>
        <v>0</v>
      </c>
      <c r="BK535" s="29"/>
      <c r="BL535" s="29">
        <v>767</v>
      </c>
      <c r="BW535" s="29">
        <v>21</v>
      </c>
      <c r="BX535" s="5" t="s">
        <v>920</v>
      </c>
    </row>
    <row r="536" spans="1:76" ht="14.4" x14ac:dyDescent="0.3">
      <c r="A536" s="32"/>
      <c r="C536" s="33" t="s">
        <v>921</v>
      </c>
      <c r="D536" s="33" t="s">
        <v>922</v>
      </c>
      <c r="F536" s="34">
        <v>0.70387</v>
      </c>
      <c r="K536" s="35"/>
    </row>
    <row r="537" spans="1:76" ht="14.4" x14ac:dyDescent="0.3">
      <c r="A537" s="32"/>
      <c r="C537" s="33" t="s">
        <v>51</v>
      </c>
      <c r="D537" s="33" t="s">
        <v>923</v>
      </c>
      <c r="F537" s="34">
        <v>0</v>
      </c>
      <c r="K537" s="35"/>
    </row>
    <row r="538" spans="1:76" ht="14.4" x14ac:dyDescent="0.3">
      <c r="A538" s="2" t="s">
        <v>924</v>
      </c>
      <c r="B538" s="3" t="s">
        <v>925</v>
      </c>
      <c r="C538" s="87" t="s">
        <v>926</v>
      </c>
      <c r="D538" s="84"/>
      <c r="E538" s="3" t="s">
        <v>269</v>
      </c>
      <c r="F538" s="29">
        <v>0.72160000000000002</v>
      </c>
      <c r="G538" s="29">
        <v>0</v>
      </c>
      <c r="H538" s="29">
        <f>F538*AO538</f>
        <v>0</v>
      </c>
      <c r="I538" s="29">
        <f>F538*AP538</f>
        <v>0</v>
      </c>
      <c r="J538" s="29">
        <f>F538*G538</f>
        <v>0</v>
      </c>
      <c r="K538" s="30" t="s">
        <v>60</v>
      </c>
      <c r="Z538" s="29">
        <f>IF(AQ538="5",BJ538,0)</f>
        <v>0</v>
      </c>
      <c r="AB538" s="29">
        <f>IF(AQ538="1",BH538,0)</f>
        <v>0</v>
      </c>
      <c r="AC538" s="29">
        <f>IF(AQ538="1",BI538,0)</f>
        <v>0</v>
      </c>
      <c r="AD538" s="29">
        <f>IF(AQ538="7",BH538,0)</f>
        <v>0</v>
      </c>
      <c r="AE538" s="29">
        <f>IF(AQ538="7",BI538,0)</f>
        <v>0</v>
      </c>
      <c r="AF538" s="29">
        <f>IF(AQ538="2",BH538,0)</f>
        <v>0</v>
      </c>
      <c r="AG538" s="29">
        <f>IF(AQ538="2",BI538,0)</f>
        <v>0</v>
      </c>
      <c r="AH538" s="29">
        <f>IF(AQ538="0",BJ538,0)</f>
        <v>0</v>
      </c>
      <c r="AI538" s="11" t="s">
        <v>433</v>
      </c>
      <c r="AJ538" s="29">
        <f>IF(AN538=0,J538,0)</f>
        <v>0</v>
      </c>
      <c r="AK538" s="29">
        <f>IF(AN538=12,J538,0)</f>
        <v>0</v>
      </c>
      <c r="AL538" s="29">
        <f>IF(AN538=21,J538,0)</f>
        <v>0</v>
      </c>
      <c r="AN538" s="29">
        <v>21</v>
      </c>
      <c r="AO538" s="29">
        <f>G538*1</f>
        <v>0</v>
      </c>
      <c r="AP538" s="29">
        <f>G538*(1-1)</f>
        <v>0</v>
      </c>
      <c r="AQ538" s="31" t="s">
        <v>117</v>
      </c>
      <c r="AV538" s="29">
        <f>AW538+AX538</f>
        <v>0</v>
      </c>
      <c r="AW538" s="29">
        <f>F538*AO538</f>
        <v>0</v>
      </c>
      <c r="AX538" s="29">
        <f>F538*AP538</f>
        <v>0</v>
      </c>
      <c r="AY538" s="31" t="s">
        <v>861</v>
      </c>
      <c r="AZ538" s="31" t="s">
        <v>767</v>
      </c>
      <c r="BA538" s="11" t="s">
        <v>439</v>
      </c>
      <c r="BC538" s="29">
        <f>AW538+AX538</f>
        <v>0</v>
      </c>
      <c r="BD538" s="29">
        <f>G538/(100-BE538)*100</f>
        <v>0</v>
      </c>
      <c r="BE538" s="29">
        <v>0</v>
      </c>
      <c r="BF538" s="29">
        <f>538</f>
        <v>538</v>
      </c>
      <c r="BH538" s="29">
        <f>F538*AO538</f>
        <v>0</v>
      </c>
      <c r="BI538" s="29">
        <f>F538*AP538</f>
        <v>0</v>
      </c>
      <c r="BJ538" s="29">
        <f>F538*G538</f>
        <v>0</v>
      </c>
      <c r="BK538" s="29"/>
      <c r="BL538" s="29">
        <v>767</v>
      </c>
      <c r="BW538" s="29">
        <v>21</v>
      </c>
      <c r="BX538" s="5" t="s">
        <v>926</v>
      </c>
    </row>
    <row r="539" spans="1:76" ht="14.4" x14ac:dyDescent="0.3">
      <c r="A539" s="32"/>
      <c r="C539" s="33" t="s">
        <v>927</v>
      </c>
      <c r="D539" s="33" t="s">
        <v>928</v>
      </c>
      <c r="F539" s="34">
        <v>0.72160000000000002</v>
      </c>
      <c r="K539" s="35"/>
    </row>
    <row r="540" spans="1:76" ht="14.4" x14ac:dyDescent="0.3">
      <c r="A540" s="32"/>
      <c r="C540" s="33" t="s">
        <v>51</v>
      </c>
      <c r="D540" s="33" t="s">
        <v>929</v>
      </c>
      <c r="F540" s="34">
        <v>0</v>
      </c>
      <c r="K540" s="35"/>
    </row>
    <row r="541" spans="1:76" ht="14.4" x14ac:dyDescent="0.3">
      <c r="A541" s="2" t="s">
        <v>930</v>
      </c>
      <c r="B541" s="3" t="s">
        <v>931</v>
      </c>
      <c r="C541" s="87" t="s">
        <v>932</v>
      </c>
      <c r="D541" s="84"/>
      <c r="E541" s="3" t="s">
        <v>892</v>
      </c>
      <c r="F541" s="29">
        <v>100</v>
      </c>
      <c r="G541" s="29">
        <v>0</v>
      </c>
      <c r="H541" s="29">
        <f>F541*AO541</f>
        <v>0</v>
      </c>
      <c r="I541" s="29">
        <f>F541*AP541</f>
        <v>0</v>
      </c>
      <c r="J541" s="29">
        <f>F541*G541</f>
        <v>0</v>
      </c>
      <c r="K541" s="30" t="s">
        <v>60</v>
      </c>
      <c r="Z541" s="29">
        <f>IF(AQ541="5",BJ541,0)</f>
        <v>0</v>
      </c>
      <c r="AB541" s="29">
        <f>IF(AQ541="1",BH541,0)</f>
        <v>0</v>
      </c>
      <c r="AC541" s="29">
        <f>IF(AQ541="1",BI541,0)</f>
        <v>0</v>
      </c>
      <c r="AD541" s="29">
        <f>IF(AQ541="7",BH541,0)</f>
        <v>0</v>
      </c>
      <c r="AE541" s="29">
        <f>IF(AQ541="7",BI541,0)</f>
        <v>0</v>
      </c>
      <c r="AF541" s="29">
        <f>IF(AQ541="2",BH541,0)</f>
        <v>0</v>
      </c>
      <c r="AG541" s="29">
        <f>IF(AQ541="2",BI541,0)</f>
        <v>0</v>
      </c>
      <c r="AH541" s="29">
        <f>IF(AQ541="0",BJ541,0)</f>
        <v>0</v>
      </c>
      <c r="AI541" s="11" t="s">
        <v>433</v>
      </c>
      <c r="AJ541" s="29">
        <f>IF(AN541=0,J541,0)</f>
        <v>0</v>
      </c>
      <c r="AK541" s="29">
        <f>IF(AN541=12,J541,0)</f>
        <v>0</v>
      </c>
      <c r="AL541" s="29">
        <f>IF(AN541=21,J541,0)</f>
        <v>0</v>
      </c>
      <c r="AN541" s="29">
        <v>21</v>
      </c>
      <c r="AO541" s="29">
        <f>G541*0.17515528</f>
        <v>0</v>
      </c>
      <c r="AP541" s="29">
        <f>G541*(1-0.17515528)</f>
        <v>0</v>
      </c>
      <c r="AQ541" s="31" t="s">
        <v>117</v>
      </c>
      <c r="AV541" s="29">
        <f>AW541+AX541</f>
        <v>0</v>
      </c>
      <c r="AW541" s="29">
        <f>F541*AO541</f>
        <v>0</v>
      </c>
      <c r="AX541" s="29">
        <f>F541*AP541</f>
        <v>0</v>
      </c>
      <c r="AY541" s="31" t="s">
        <v>861</v>
      </c>
      <c r="AZ541" s="31" t="s">
        <v>767</v>
      </c>
      <c r="BA541" s="11" t="s">
        <v>439</v>
      </c>
      <c r="BC541" s="29">
        <f>AW541+AX541</f>
        <v>0</v>
      </c>
      <c r="BD541" s="29">
        <f>G541/(100-BE541)*100</f>
        <v>0</v>
      </c>
      <c r="BE541" s="29">
        <v>0</v>
      </c>
      <c r="BF541" s="29">
        <f>541</f>
        <v>541</v>
      </c>
      <c r="BH541" s="29">
        <f>F541*AO541</f>
        <v>0</v>
      </c>
      <c r="BI541" s="29">
        <f>F541*AP541</f>
        <v>0</v>
      </c>
      <c r="BJ541" s="29">
        <f>F541*G541</f>
        <v>0</v>
      </c>
      <c r="BK541" s="29"/>
      <c r="BL541" s="29">
        <v>767</v>
      </c>
      <c r="BW541" s="29">
        <v>21</v>
      </c>
      <c r="BX541" s="5" t="s">
        <v>932</v>
      </c>
    </row>
    <row r="542" spans="1:76" ht="14.4" x14ac:dyDescent="0.3">
      <c r="A542" s="32"/>
      <c r="C542" s="33" t="s">
        <v>619</v>
      </c>
      <c r="D542" s="33" t="s">
        <v>933</v>
      </c>
      <c r="F542" s="34">
        <v>100</v>
      </c>
      <c r="K542" s="35"/>
    </row>
    <row r="543" spans="1:76" ht="14.4" x14ac:dyDescent="0.3">
      <c r="A543" s="2" t="s">
        <v>934</v>
      </c>
      <c r="B543" s="3" t="s">
        <v>935</v>
      </c>
      <c r="C543" s="87" t="s">
        <v>936</v>
      </c>
      <c r="D543" s="84"/>
      <c r="E543" s="3" t="s">
        <v>269</v>
      </c>
      <c r="F543" s="29">
        <v>9.9659999999999999E-2</v>
      </c>
      <c r="G543" s="29">
        <v>0</v>
      </c>
      <c r="H543" s="29">
        <f>F543*AO543</f>
        <v>0</v>
      </c>
      <c r="I543" s="29">
        <f>F543*AP543</f>
        <v>0</v>
      </c>
      <c r="J543" s="29">
        <f>F543*G543</f>
        <v>0</v>
      </c>
      <c r="K543" s="30" t="s">
        <v>250</v>
      </c>
      <c r="Z543" s="29">
        <f>IF(AQ543="5",BJ543,0)</f>
        <v>0</v>
      </c>
      <c r="AB543" s="29">
        <f>IF(AQ543="1",BH543,0)</f>
        <v>0</v>
      </c>
      <c r="AC543" s="29">
        <f>IF(AQ543="1",BI543,0)</f>
        <v>0</v>
      </c>
      <c r="AD543" s="29">
        <f>IF(AQ543="7",BH543,0)</f>
        <v>0</v>
      </c>
      <c r="AE543" s="29">
        <f>IF(AQ543="7",BI543,0)</f>
        <v>0</v>
      </c>
      <c r="AF543" s="29">
        <f>IF(AQ543="2",BH543,0)</f>
        <v>0</v>
      </c>
      <c r="AG543" s="29">
        <f>IF(AQ543="2",BI543,0)</f>
        <v>0</v>
      </c>
      <c r="AH543" s="29">
        <f>IF(AQ543="0",BJ543,0)</f>
        <v>0</v>
      </c>
      <c r="AI543" s="11" t="s">
        <v>433</v>
      </c>
      <c r="AJ543" s="29">
        <f>IF(AN543=0,J543,0)</f>
        <v>0</v>
      </c>
      <c r="AK543" s="29">
        <f>IF(AN543=12,J543,0)</f>
        <v>0</v>
      </c>
      <c r="AL543" s="29">
        <f>IF(AN543=21,J543,0)</f>
        <v>0</v>
      </c>
      <c r="AN543" s="29">
        <v>21</v>
      </c>
      <c r="AO543" s="29">
        <f>G543*1</f>
        <v>0</v>
      </c>
      <c r="AP543" s="29">
        <f>G543*(1-1)</f>
        <v>0</v>
      </c>
      <c r="AQ543" s="31" t="s">
        <v>117</v>
      </c>
      <c r="AV543" s="29">
        <f>AW543+AX543</f>
        <v>0</v>
      </c>
      <c r="AW543" s="29">
        <f>F543*AO543</f>
        <v>0</v>
      </c>
      <c r="AX543" s="29">
        <f>F543*AP543</f>
        <v>0</v>
      </c>
      <c r="AY543" s="31" t="s">
        <v>861</v>
      </c>
      <c r="AZ543" s="31" t="s">
        <v>767</v>
      </c>
      <c r="BA543" s="11" t="s">
        <v>439</v>
      </c>
      <c r="BC543" s="29">
        <f>AW543+AX543</f>
        <v>0</v>
      </c>
      <c r="BD543" s="29">
        <f>G543/(100-BE543)*100</f>
        <v>0</v>
      </c>
      <c r="BE543" s="29">
        <v>0</v>
      </c>
      <c r="BF543" s="29">
        <f>543</f>
        <v>543</v>
      </c>
      <c r="BH543" s="29">
        <f>F543*AO543</f>
        <v>0</v>
      </c>
      <c r="BI543" s="29">
        <f>F543*AP543</f>
        <v>0</v>
      </c>
      <c r="BJ543" s="29">
        <f>F543*G543</f>
        <v>0</v>
      </c>
      <c r="BK543" s="29"/>
      <c r="BL543" s="29">
        <v>767</v>
      </c>
      <c r="BW543" s="29">
        <v>21</v>
      </c>
      <c r="BX543" s="5" t="s">
        <v>936</v>
      </c>
    </row>
    <row r="544" spans="1:76" ht="14.4" x14ac:dyDescent="0.3">
      <c r="A544" s="32"/>
      <c r="C544" s="33" t="s">
        <v>937</v>
      </c>
      <c r="D544" s="33" t="s">
        <v>938</v>
      </c>
      <c r="F544" s="34">
        <v>9.9659999999999999E-2</v>
      </c>
      <c r="K544" s="35"/>
    </row>
    <row r="545" spans="1:76" ht="14.4" x14ac:dyDescent="0.3">
      <c r="A545" s="32"/>
      <c r="C545" s="33" t="s">
        <v>51</v>
      </c>
      <c r="D545" s="33" t="s">
        <v>939</v>
      </c>
      <c r="F545" s="34">
        <v>0</v>
      </c>
      <c r="K545" s="35"/>
    </row>
    <row r="546" spans="1:76" ht="14.4" x14ac:dyDescent="0.3">
      <c r="A546" s="2" t="s">
        <v>940</v>
      </c>
      <c r="B546" s="3" t="s">
        <v>941</v>
      </c>
      <c r="C546" s="87" t="s">
        <v>942</v>
      </c>
      <c r="D546" s="84"/>
      <c r="E546" s="3" t="s">
        <v>892</v>
      </c>
      <c r="F546" s="29">
        <v>1116</v>
      </c>
      <c r="G546" s="29">
        <v>0</v>
      </c>
      <c r="H546" s="29">
        <f>F546*AO546</f>
        <v>0</v>
      </c>
      <c r="I546" s="29">
        <f>F546*AP546</f>
        <v>0</v>
      </c>
      <c r="J546" s="29">
        <f>F546*G546</f>
        <v>0</v>
      </c>
      <c r="K546" s="30" t="s">
        <v>943</v>
      </c>
      <c r="Z546" s="29">
        <f>IF(AQ546="5",BJ546,0)</f>
        <v>0</v>
      </c>
      <c r="AB546" s="29">
        <f>IF(AQ546="1",BH546,0)</f>
        <v>0</v>
      </c>
      <c r="AC546" s="29">
        <f>IF(AQ546="1",BI546,0)</f>
        <v>0</v>
      </c>
      <c r="AD546" s="29">
        <f>IF(AQ546="7",BH546,0)</f>
        <v>0</v>
      </c>
      <c r="AE546" s="29">
        <f>IF(AQ546="7",BI546,0)</f>
        <v>0</v>
      </c>
      <c r="AF546" s="29">
        <f>IF(AQ546="2",BH546,0)</f>
        <v>0</v>
      </c>
      <c r="AG546" s="29">
        <f>IF(AQ546="2",BI546,0)</f>
        <v>0</v>
      </c>
      <c r="AH546" s="29">
        <f>IF(AQ546="0",BJ546,0)</f>
        <v>0</v>
      </c>
      <c r="AI546" s="11" t="s">
        <v>433</v>
      </c>
      <c r="AJ546" s="29">
        <f>IF(AN546=0,J546,0)</f>
        <v>0</v>
      </c>
      <c r="AK546" s="29">
        <f>IF(AN546=12,J546,0)</f>
        <v>0</v>
      </c>
      <c r="AL546" s="29">
        <f>IF(AN546=21,J546,0)</f>
        <v>0</v>
      </c>
      <c r="AN546" s="29">
        <v>21</v>
      </c>
      <c r="AO546" s="29">
        <f>G546*1</f>
        <v>0</v>
      </c>
      <c r="AP546" s="29">
        <f>G546*(1-1)</f>
        <v>0</v>
      </c>
      <c r="AQ546" s="31" t="s">
        <v>117</v>
      </c>
      <c r="AV546" s="29">
        <f>AW546+AX546</f>
        <v>0</v>
      </c>
      <c r="AW546" s="29">
        <f>F546*AO546</f>
        <v>0</v>
      </c>
      <c r="AX546" s="29">
        <f>F546*AP546</f>
        <v>0</v>
      </c>
      <c r="AY546" s="31" t="s">
        <v>861</v>
      </c>
      <c r="AZ546" s="31" t="s">
        <v>767</v>
      </c>
      <c r="BA546" s="11" t="s">
        <v>439</v>
      </c>
      <c r="BC546" s="29">
        <f>AW546+AX546</f>
        <v>0</v>
      </c>
      <c r="BD546" s="29">
        <f>G546/(100-BE546)*100</f>
        <v>0</v>
      </c>
      <c r="BE546" s="29">
        <v>0</v>
      </c>
      <c r="BF546" s="29">
        <f>546</f>
        <v>546</v>
      </c>
      <c r="BH546" s="29">
        <f>F546*AO546</f>
        <v>0</v>
      </c>
      <c r="BI546" s="29">
        <f>F546*AP546</f>
        <v>0</v>
      </c>
      <c r="BJ546" s="29">
        <f>F546*G546</f>
        <v>0</v>
      </c>
      <c r="BK546" s="29"/>
      <c r="BL546" s="29">
        <v>767</v>
      </c>
      <c r="BW546" s="29">
        <v>21</v>
      </c>
      <c r="BX546" s="5" t="s">
        <v>942</v>
      </c>
    </row>
    <row r="547" spans="1:76" ht="14.4" x14ac:dyDescent="0.3">
      <c r="A547" s="32"/>
      <c r="C547" s="33" t="s">
        <v>893</v>
      </c>
      <c r="D547" s="33" t="s">
        <v>894</v>
      </c>
      <c r="F547" s="34">
        <v>196</v>
      </c>
      <c r="K547" s="35"/>
    </row>
    <row r="548" spans="1:76" ht="14.4" x14ac:dyDescent="0.3">
      <c r="A548" s="32"/>
      <c r="C548" s="33" t="s">
        <v>914</v>
      </c>
      <c r="D548" s="33" t="s">
        <v>915</v>
      </c>
      <c r="F548" s="34">
        <v>704</v>
      </c>
      <c r="K548" s="35"/>
    </row>
    <row r="549" spans="1:76" ht="14.4" x14ac:dyDescent="0.3">
      <c r="A549" s="32"/>
      <c r="C549" s="33" t="s">
        <v>704</v>
      </c>
      <c r="D549" s="33" t="s">
        <v>895</v>
      </c>
      <c r="F549" s="34">
        <v>116</v>
      </c>
      <c r="K549" s="35"/>
    </row>
    <row r="550" spans="1:76" ht="14.4" x14ac:dyDescent="0.3">
      <c r="A550" s="32"/>
      <c r="C550" s="33" t="s">
        <v>619</v>
      </c>
      <c r="D550" s="33" t="s">
        <v>933</v>
      </c>
      <c r="F550" s="34">
        <v>100</v>
      </c>
      <c r="K550" s="35"/>
    </row>
    <row r="551" spans="1:76" ht="14.4" x14ac:dyDescent="0.3">
      <c r="A551" s="2" t="s">
        <v>944</v>
      </c>
      <c r="B551" s="3" t="s">
        <v>945</v>
      </c>
      <c r="C551" s="87" t="s">
        <v>946</v>
      </c>
      <c r="D551" s="84"/>
      <c r="E551" s="3" t="s">
        <v>269</v>
      </c>
      <c r="F551" s="29">
        <v>3.1846800000000002</v>
      </c>
      <c r="G551" s="29">
        <v>0</v>
      </c>
      <c r="H551" s="29">
        <f>F551*AO551</f>
        <v>0</v>
      </c>
      <c r="I551" s="29">
        <f>F551*AP551</f>
        <v>0</v>
      </c>
      <c r="J551" s="29">
        <f>F551*G551</f>
        <v>0</v>
      </c>
      <c r="K551" s="30" t="s">
        <v>60</v>
      </c>
      <c r="Z551" s="29">
        <f>IF(AQ551="5",BJ551,0)</f>
        <v>0</v>
      </c>
      <c r="AB551" s="29">
        <f>IF(AQ551="1",BH551,0)</f>
        <v>0</v>
      </c>
      <c r="AC551" s="29">
        <f>IF(AQ551="1",BI551,0)</f>
        <v>0</v>
      </c>
      <c r="AD551" s="29">
        <f>IF(AQ551="7",BH551,0)</f>
        <v>0</v>
      </c>
      <c r="AE551" s="29">
        <f>IF(AQ551="7",BI551,0)</f>
        <v>0</v>
      </c>
      <c r="AF551" s="29">
        <f>IF(AQ551="2",BH551,0)</f>
        <v>0</v>
      </c>
      <c r="AG551" s="29">
        <f>IF(AQ551="2",BI551,0)</f>
        <v>0</v>
      </c>
      <c r="AH551" s="29">
        <f>IF(AQ551="0",BJ551,0)</f>
        <v>0</v>
      </c>
      <c r="AI551" s="11" t="s">
        <v>433</v>
      </c>
      <c r="AJ551" s="29">
        <f>IF(AN551=0,J551,0)</f>
        <v>0</v>
      </c>
      <c r="AK551" s="29">
        <f>IF(AN551=12,J551,0)</f>
        <v>0</v>
      </c>
      <c r="AL551" s="29">
        <f>IF(AN551=21,J551,0)</f>
        <v>0</v>
      </c>
      <c r="AN551" s="29">
        <v>21</v>
      </c>
      <c r="AO551" s="29">
        <f>G551*0</f>
        <v>0</v>
      </c>
      <c r="AP551" s="29">
        <f>G551*(1-0)</f>
        <v>0</v>
      </c>
      <c r="AQ551" s="31" t="s">
        <v>100</v>
      </c>
      <c r="AV551" s="29">
        <f>AW551+AX551</f>
        <v>0</v>
      </c>
      <c r="AW551" s="29">
        <f>F551*AO551</f>
        <v>0</v>
      </c>
      <c r="AX551" s="29">
        <f>F551*AP551</f>
        <v>0</v>
      </c>
      <c r="AY551" s="31" t="s">
        <v>861</v>
      </c>
      <c r="AZ551" s="31" t="s">
        <v>767</v>
      </c>
      <c r="BA551" s="11" t="s">
        <v>439</v>
      </c>
      <c r="BC551" s="29">
        <f>AW551+AX551</f>
        <v>0</v>
      </c>
      <c r="BD551" s="29">
        <f>G551/(100-BE551)*100</f>
        <v>0</v>
      </c>
      <c r="BE551" s="29">
        <v>0</v>
      </c>
      <c r="BF551" s="29">
        <f>551</f>
        <v>551</v>
      </c>
      <c r="BH551" s="29">
        <f>F551*AO551</f>
        <v>0</v>
      </c>
      <c r="BI551" s="29">
        <f>F551*AP551</f>
        <v>0</v>
      </c>
      <c r="BJ551" s="29">
        <f>F551*G551</f>
        <v>0</v>
      </c>
      <c r="BK551" s="29"/>
      <c r="BL551" s="29">
        <v>767</v>
      </c>
      <c r="BW551" s="29">
        <v>21</v>
      </c>
      <c r="BX551" s="5" t="s">
        <v>946</v>
      </c>
    </row>
    <row r="552" spans="1:76" ht="14.4" x14ac:dyDescent="0.3">
      <c r="A552" s="25" t="s">
        <v>51</v>
      </c>
      <c r="B552" s="26" t="s">
        <v>324</v>
      </c>
      <c r="C552" s="143" t="s">
        <v>325</v>
      </c>
      <c r="D552" s="144"/>
      <c r="E552" s="27" t="s">
        <v>4</v>
      </c>
      <c r="F552" s="27" t="s">
        <v>4</v>
      </c>
      <c r="G552" s="27" t="s">
        <v>4</v>
      </c>
      <c r="H552" s="1">
        <f>SUM(H553:H573)</f>
        <v>0</v>
      </c>
      <c r="I552" s="1">
        <f>SUM(I553:I573)</f>
        <v>0</v>
      </c>
      <c r="J552" s="1">
        <f>SUM(J553:J573)</f>
        <v>0</v>
      </c>
      <c r="K552" s="28" t="s">
        <v>51</v>
      </c>
      <c r="AI552" s="11" t="s">
        <v>433</v>
      </c>
      <c r="AS552" s="1">
        <f>SUM(AJ553:AJ573)</f>
        <v>0</v>
      </c>
      <c r="AT552" s="1">
        <f>SUM(AK553:AK573)</f>
        <v>0</v>
      </c>
      <c r="AU552" s="1">
        <f>SUM(AL553:AL573)</f>
        <v>0</v>
      </c>
    </row>
    <row r="553" spans="1:76" ht="14.4" x14ac:dyDescent="0.3">
      <c r="A553" s="2" t="s">
        <v>947</v>
      </c>
      <c r="B553" s="3" t="s">
        <v>948</v>
      </c>
      <c r="C553" s="87" t="s">
        <v>949</v>
      </c>
      <c r="D553" s="84"/>
      <c r="E553" s="3" t="s">
        <v>59</v>
      </c>
      <c r="F553" s="29">
        <v>273.37200000000001</v>
      </c>
      <c r="G553" s="29">
        <v>0</v>
      </c>
      <c r="H553" s="29">
        <f>F553*AO553</f>
        <v>0</v>
      </c>
      <c r="I553" s="29">
        <f>F553*AP553</f>
        <v>0</v>
      </c>
      <c r="J553" s="29">
        <f>F553*G553</f>
        <v>0</v>
      </c>
      <c r="K553" s="30" t="s">
        <v>60</v>
      </c>
      <c r="Z553" s="29">
        <f>IF(AQ553="5",BJ553,0)</f>
        <v>0</v>
      </c>
      <c r="AB553" s="29">
        <f>IF(AQ553="1",BH553,0)</f>
        <v>0</v>
      </c>
      <c r="AC553" s="29">
        <f>IF(AQ553="1",BI553,0)</f>
        <v>0</v>
      </c>
      <c r="AD553" s="29">
        <f>IF(AQ553="7",BH553,0)</f>
        <v>0</v>
      </c>
      <c r="AE553" s="29">
        <f>IF(AQ553="7",BI553,0)</f>
        <v>0</v>
      </c>
      <c r="AF553" s="29">
        <f>IF(AQ553="2",BH553,0)</f>
        <v>0</v>
      </c>
      <c r="AG553" s="29">
        <f>IF(AQ553="2",BI553,0)</f>
        <v>0</v>
      </c>
      <c r="AH553" s="29">
        <f>IF(AQ553="0",BJ553,0)</f>
        <v>0</v>
      </c>
      <c r="AI553" s="11" t="s">
        <v>433</v>
      </c>
      <c r="AJ553" s="29">
        <f>IF(AN553=0,J553,0)</f>
        <v>0</v>
      </c>
      <c r="AK553" s="29">
        <f>IF(AN553=12,J553,0)</f>
        <v>0</v>
      </c>
      <c r="AL553" s="29">
        <f>IF(AN553=21,J553,0)</f>
        <v>0</v>
      </c>
      <c r="AN553" s="29">
        <v>21</v>
      </c>
      <c r="AO553" s="29">
        <f>G553*0.10022561</f>
        <v>0</v>
      </c>
      <c r="AP553" s="29">
        <f>G553*(1-0.10022561)</f>
        <v>0</v>
      </c>
      <c r="AQ553" s="31" t="s">
        <v>117</v>
      </c>
      <c r="AV553" s="29">
        <f>AW553+AX553</f>
        <v>0</v>
      </c>
      <c r="AW553" s="29">
        <f>F553*AO553</f>
        <v>0</v>
      </c>
      <c r="AX553" s="29">
        <f>F553*AP553</f>
        <v>0</v>
      </c>
      <c r="AY553" s="31" t="s">
        <v>329</v>
      </c>
      <c r="AZ553" s="31" t="s">
        <v>950</v>
      </c>
      <c r="BA553" s="11" t="s">
        <v>439</v>
      </c>
      <c r="BC553" s="29">
        <f>AW553+AX553</f>
        <v>0</v>
      </c>
      <c r="BD553" s="29">
        <f>G553/(100-BE553)*100</f>
        <v>0</v>
      </c>
      <c r="BE553" s="29">
        <v>0</v>
      </c>
      <c r="BF553" s="29">
        <f>553</f>
        <v>553</v>
      </c>
      <c r="BH553" s="29">
        <f>F553*AO553</f>
        <v>0</v>
      </c>
      <c r="BI553" s="29">
        <f>F553*AP553</f>
        <v>0</v>
      </c>
      <c r="BJ553" s="29">
        <f>F553*G553</f>
        <v>0</v>
      </c>
      <c r="BK553" s="29"/>
      <c r="BL553" s="29">
        <v>783</v>
      </c>
      <c r="BW553" s="29">
        <v>21</v>
      </c>
      <c r="BX553" s="5" t="s">
        <v>949</v>
      </c>
    </row>
    <row r="554" spans="1:76" ht="14.4" x14ac:dyDescent="0.3">
      <c r="A554" s="32"/>
      <c r="C554" s="33" t="s">
        <v>951</v>
      </c>
      <c r="D554" s="33" t="s">
        <v>952</v>
      </c>
      <c r="F554" s="34">
        <v>201.43199999999999</v>
      </c>
      <c r="K554" s="35"/>
    </row>
    <row r="555" spans="1:76" ht="14.4" x14ac:dyDescent="0.3">
      <c r="A555" s="32"/>
      <c r="C555" s="33" t="s">
        <v>953</v>
      </c>
      <c r="D555" s="33" t="s">
        <v>51</v>
      </c>
      <c r="F555" s="34">
        <v>71.94</v>
      </c>
      <c r="K555" s="35"/>
    </row>
    <row r="556" spans="1:76" ht="14.4" x14ac:dyDescent="0.3">
      <c r="A556" s="2" t="s">
        <v>954</v>
      </c>
      <c r="B556" s="3" t="s">
        <v>955</v>
      </c>
      <c r="C556" s="87" t="s">
        <v>956</v>
      </c>
      <c r="D556" s="84"/>
      <c r="E556" s="3" t="s">
        <v>59</v>
      </c>
      <c r="F556" s="29">
        <v>25.748000000000001</v>
      </c>
      <c r="G556" s="29">
        <v>0</v>
      </c>
      <c r="H556" s="29">
        <f>F556*AO556</f>
        <v>0</v>
      </c>
      <c r="I556" s="29">
        <f>F556*AP556</f>
        <v>0</v>
      </c>
      <c r="J556" s="29">
        <f>F556*G556</f>
        <v>0</v>
      </c>
      <c r="K556" s="30" t="s">
        <v>60</v>
      </c>
      <c r="Z556" s="29">
        <f>IF(AQ556="5",BJ556,0)</f>
        <v>0</v>
      </c>
      <c r="AB556" s="29">
        <f>IF(AQ556="1",BH556,0)</f>
        <v>0</v>
      </c>
      <c r="AC556" s="29">
        <f>IF(AQ556="1",BI556,0)</f>
        <v>0</v>
      </c>
      <c r="AD556" s="29">
        <f>IF(AQ556="7",BH556,0)</f>
        <v>0</v>
      </c>
      <c r="AE556" s="29">
        <f>IF(AQ556="7",BI556,0)</f>
        <v>0</v>
      </c>
      <c r="AF556" s="29">
        <f>IF(AQ556="2",BH556,0)</f>
        <v>0</v>
      </c>
      <c r="AG556" s="29">
        <f>IF(AQ556="2",BI556,0)</f>
        <v>0</v>
      </c>
      <c r="AH556" s="29">
        <f>IF(AQ556="0",BJ556,0)</f>
        <v>0</v>
      </c>
      <c r="AI556" s="11" t="s">
        <v>433</v>
      </c>
      <c r="AJ556" s="29">
        <f>IF(AN556=0,J556,0)</f>
        <v>0</v>
      </c>
      <c r="AK556" s="29">
        <f>IF(AN556=12,J556,0)</f>
        <v>0</v>
      </c>
      <c r="AL556" s="29">
        <f>IF(AN556=21,J556,0)</f>
        <v>0</v>
      </c>
      <c r="AN556" s="29">
        <v>21</v>
      </c>
      <c r="AO556" s="29">
        <f>G556*0.497840115</f>
        <v>0</v>
      </c>
      <c r="AP556" s="29">
        <f>G556*(1-0.497840115)</f>
        <v>0</v>
      </c>
      <c r="AQ556" s="31" t="s">
        <v>117</v>
      </c>
      <c r="AV556" s="29">
        <f>AW556+AX556</f>
        <v>0</v>
      </c>
      <c r="AW556" s="29">
        <f>F556*AO556</f>
        <v>0</v>
      </c>
      <c r="AX556" s="29">
        <f>F556*AP556</f>
        <v>0</v>
      </c>
      <c r="AY556" s="31" t="s">
        <v>329</v>
      </c>
      <c r="AZ556" s="31" t="s">
        <v>950</v>
      </c>
      <c r="BA556" s="11" t="s">
        <v>439</v>
      </c>
      <c r="BC556" s="29">
        <f>AW556+AX556</f>
        <v>0</v>
      </c>
      <c r="BD556" s="29">
        <f>G556/(100-BE556)*100</f>
        <v>0</v>
      </c>
      <c r="BE556" s="29">
        <v>0</v>
      </c>
      <c r="BF556" s="29">
        <f>556</f>
        <v>556</v>
      </c>
      <c r="BH556" s="29">
        <f>F556*AO556</f>
        <v>0</v>
      </c>
      <c r="BI556" s="29">
        <f>F556*AP556</f>
        <v>0</v>
      </c>
      <c r="BJ556" s="29">
        <f>F556*G556</f>
        <v>0</v>
      </c>
      <c r="BK556" s="29"/>
      <c r="BL556" s="29">
        <v>783</v>
      </c>
      <c r="BW556" s="29">
        <v>21</v>
      </c>
      <c r="BX556" s="5" t="s">
        <v>956</v>
      </c>
    </row>
    <row r="557" spans="1:76" ht="14.4" x14ac:dyDescent="0.3">
      <c r="A557" s="32"/>
      <c r="C557" s="33" t="s">
        <v>957</v>
      </c>
      <c r="D557" s="33" t="s">
        <v>958</v>
      </c>
      <c r="F557" s="34">
        <v>21.98</v>
      </c>
      <c r="K557" s="35"/>
    </row>
    <row r="558" spans="1:76" ht="14.4" x14ac:dyDescent="0.3">
      <c r="A558" s="32"/>
      <c r="C558" s="33" t="s">
        <v>959</v>
      </c>
      <c r="D558" s="33" t="s">
        <v>537</v>
      </c>
      <c r="F558" s="34">
        <v>3.7679999999999998</v>
      </c>
      <c r="K558" s="35"/>
    </row>
    <row r="559" spans="1:76" ht="14.4" x14ac:dyDescent="0.3">
      <c r="A559" s="2" t="s">
        <v>960</v>
      </c>
      <c r="B559" s="3" t="s">
        <v>961</v>
      </c>
      <c r="C559" s="87" t="s">
        <v>962</v>
      </c>
      <c r="D559" s="84"/>
      <c r="E559" s="3" t="s">
        <v>350</v>
      </c>
      <c r="F559" s="29">
        <v>10</v>
      </c>
      <c r="G559" s="29">
        <v>0</v>
      </c>
      <c r="H559" s="29">
        <f>F559*AO559</f>
        <v>0</v>
      </c>
      <c r="I559" s="29">
        <f>F559*AP559</f>
        <v>0</v>
      </c>
      <c r="J559" s="29">
        <f>F559*G559</f>
        <v>0</v>
      </c>
      <c r="K559" s="30" t="s">
        <v>60</v>
      </c>
      <c r="Z559" s="29">
        <f>IF(AQ559="5",BJ559,0)</f>
        <v>0</v>
      </c>
      <c r="AB559" s="29">
        <f>IF(AQ559="1",BH559,0)</f>
        <v>0</v>
      </c>
      <c r="AC559" s="29">
        <f>IF(AQ559="1",BI559,0)</f>
        <v>0</v>
      </c>
      <c r="AD559" s="29">
        <f>IF(AQ559="7",BH559,0)</f>
        <v>0</v>
      </c>
      <c r="AE559" s="29">
        <f>IF(AQ559="7",BI559,0)</f>
        <v>0</v>
      </c>
      <c r="AF559" s="29">
        <f>IF(AQ559="2",BH559,0)</f>
        <v>0</v>
      </c>
      <c r="AG559" s="29">
        <f>IF(AQ559="2",BI559,0)</f>
        <v>0</v>
      </c>
      <c r="AH559" s="29">
        <f>IF(AQ559="0",BJ559,0)</f>
        <v>0</v>
      </c>
      <c r="AI559" s="11" t="s">
        <v>433</v>
      </c>
      <c r="AJ559" s="29">
        <f>IF(AN559=0,J559,0)</f>
        <v>0</v>
      </c>
      <c r="AK559" s="29">
        <f>IF(AN559=12,J559,0)</f>
        <v>0</v>
      </c>
      <c r="AL559" s="29">
        <f>IF(AN559=21,J559,0)</f>
        <v>0</v>
      </c>
      <c r="AN559" s="29">
        <v>21</v>
      </c>
      <c r="AO559" s="29">
        <f>G559*0.407601312</f>
        <v>0</v>
      </c>
      <c r="AP559" s="29">
        <f>G559*(1-0.407601312)</f>
        <v>0</v>
      </c>
      <c r="AQ559" s="31" t="s">
        <v>117</v>
      </c>
      <c r="AV559" s="29">
        <f>AW559+AX559</f>
        <v>0</v>
      </c>
      <c r="AW559" s="29">
        <f>F559*AO559</f>
        <v>0</v>
      </c>
      <c r="AX559" s="29">
        <f>F559*AP559</f>
        <v>0</v>
      </c>
      <c r="AY559" s="31" t="s">
        <v>329</v>
      </c>
      <c r="AZ559" s="31" t="s">
        <v>950</v>
      </c>
      <c r="BA559" s="11" t="s">
        <v>439</v>
      </c>
      <c r="BC559" s="29">
        <f>AW559+AX559</f>
        <v>0</v>
      </c>
      <c r="BD559" s="29">
        <f>G559/(100-BE559)*100</f>
        <v>0</v>
      </c>
      <c r="BE559" s="29">
        <v>0</v>
      </c>
      <c r="BF559" s="29">
        <f>559</f>
        <v>559</v>
      </c>
      <c r="BH559" s="29">
        <f>F559*AO559</f>
        <v>0</v>
      </c>
      <c r="BI559" s="29">
        <f>F559*AP559</f>
        <v>0</v>
      </c>
      <c r="BJ559" s="29">
        <f>F559*G559</f>
        <v>0</v>
      </c>
      <c r="BK559" s="29"/>
      <c r="BL559" s="29">
        <v>783</v>
      </c>
      <c r="BW559" s="29">
        <v>21</v>
      </c>
      <c r="BX559" s="5" t="s">
        <v>962</v>
      </c>
    </row>
    <row r="560" spans="1:76" ht="14.4" x14ac:dyDescent="0.3">
      <c r="A560" s="32"/>
      <c r="C560" s="33" t="s">
        <v>137</v>
      </c>
      <c r="D560" s="33" t="s">
        <v>963</v>
      </c>
      <c r="F560" s="34">
        <v>10</v>
      </c>
      <c r="K560" s="35"/>
    </row>
    <row r="561" spans="1:76" ht="14.4" x14ac:dyDescent="0.3">
      <c r="A561" s="2" t="s">
        <v>964</v>
      </c>
      <c r="B561" s="3" t="s">
        <v>965</v>
      </c>
      <c r="C561" s="87" t="s">
        <v>966</v>
      </c>
      <c r="D561" s="84"/>
      <c r="E561" s="3" t="s">
        <v>59</v>
      </c>
      <c r="F561" s="29">
        <v>540.32500000000005</v>
      </c>
      <c r="G561" s="29">
        <v>0</v>
      </c>
      <c r="H561" s="29">
        <f>F561*AO561</f>
        <v>0</v>
      </c>
      <c r="I561" s="29">
        <f>F561*AP561</f>
        <v>0</v>
      </c>
      <c r="J561" s="29">
        <f>F561*G561</f>
        <v>0</v>
      </c>
      <c r="K561" s="30" t="s">
        <v>60</v>
      </c>
      <c r="Z561" s="29">
        <f>IF(AQ561="5",BJ561,0)</f>
        <v>0</v>
      </c>
      <c r="AB561" s="29">
        <f>IF(AQ561="1",BH561,0)</f>
        <v>0</v>
      </c>
      <c r="AC561" s="29">
        <f>IF(AQ561="1",BI561,0)</f>
        <v>0</v>
      </c>
      <c r="AD561" s="29">
        <f>IF(AQ561="7",BH561,0)</f>
        <v>0</v>
      </c>
      <c r="AE561" s="29">
        <f>IF(AQ561="7",BI561,0)</f>
        <v>0</v>
      </c>
      <c r="AF561" s="29">
        <f>IF(AQ561="2",BH561,0)</f>
        <v>0</v>
      </c>
      <c r="AG561" s="29">
        <f>IF(AQ561="2",BI561,0)</f>
        <v>0</v>
      </c>
      <c r="AH561" s="29">
        <f>IF(AQ561="0",BJ561,0)</f>
        <v>0</v>
      </c>
      <c r="AI561" s="11" t="s">
        <v>433</v>
      </c>
      <c r="AJ561" s="29">
        <f>IF(AN561=0,J561,0)</f>
        <v>0</v>
      </c>
      <c r="AK561" s="29">
        <f>IF(AN561=12,J561,0)</f>
        <v>0</v>
      </c>
      <c r="AL561" s="29">
        <f>IF(AN561=21,J561,0)</f>
        <v>0</v>
      </c>
      <c r="AN561" s="29">
        <v>21</v>
      </c>
      <c r="AO561" s="29">
        <f>G561*0.431487206</f>
        <v>0</v>
      </c>
      <c r="AP561" s="29">
        <f>G561*(1-0.431487206)</f>
        <v>0</v>
      </c>
      <c r="AQ561" s="31" t="s">
        <v>117</v>
      </c>
      <c r="AV561" s="29">
        <f>AW561+AX561</f>
        <v>0</v>
      </c>
      <c r="AW561" s="29">
        <f>F561*AO561</f>
        <v>0</v>
      </c>
      <c r="AX561" s="29">
        <f>F561*AP561</f>
        <v>0</v>
      </c>
      <c r="AY561" s="31" t="s">
        <v>329</v>
      </c>
      <c r="AZ561" s="31" t="s">
        <v>950</v>
      </c>
      <c r="BA561" s="11" t="s">
        <v>439</v>
      </c>
      <c r="BC561" s="29">
        <f>AW561+AX561</f>
        <v>0</v>
      </c>
      <c r="BD561" s="29">
        <f>G561/(100-BE561)*100</f>
        <v>0</v>
      </c>
      <c r="BE561" s="29">
        <v>0</v>
      </c>
      <c r="BF561" s="29">
        <f>561</f>
        <v>561</v>
      </c>
      <c r="BH561" s="29">
        <f>F561*AO561</f>
        <v>0</v>
      </c>
      <c r="BI561" s="29">
        <f>F561*AP561</f>
        <v>0</v>
      </c>
      <c r="BJ561" s="29">
        <f>F561*G561</f>
        <v>0</v>
      </c>
      <c r="BK561" s="29"/>
      <c r="BL561" s="29">
        <v>783</v>
      </c>
      <c r="BW561" s="29">
        <v>21</v>
      </c>
      <c r="BX561" s="5" t="s">
        <v>966</v>
      </c>
    </row>
    <row r="562" spans="1:76" ht="14.4" x14ac:dyDescent="0.3">
      <c r="A562" s="32"/>
      <c r="C562" s="33" t="s">
        <v>665</v>
      </c>
      <c r="D562" s="33" t="s">
        <v>210</v>
      </c>
      <c r="F562" s="34">
        <v>177.01499999999999</v>
      </c>
      <c r="K562" s="35"/>
    </row>
    <row r="563" spans="1:76" ht="14.4" x14ac:dyDescent="0.3">
      <c r="A563" s="32"/>
      <c r="C563" s="33" t="s">
        <v>575</v>
      </c>
      <c r="D563" s="33" t="s">
        <v>211</v>
      </c>
      <c r="F563" s="34">
        <v>179.405</v>
      </c>
      <c r="K563" s="35"/>
    </row>
    <row r="564" spans="1:76" ht="14.4" x14ac:dyDescent="0.3">
      <c r="A564" s="32"/>
      <c r="C564" s="33" t="s">
        <v>666</v>
      </c>
      <c r="D564" s="33" t="s">
        <v>213</v>
      </c>
      <c r="F564" s="34">
        <v>183.905</v>
      </c>
      <c r="K564" s="35"/>
    </row>
    <row r="565" spans="1:76" ht="14.4" x14ac:dyDescent="0.3">
      <c r="A565" s="2" t="s">
        <v>967</v>
      </c>
      <c r="B565" s="3" t="s">
        <v>968</v>
      </c>
      <c r="C565" s="87" t="s">
        <v>969</v>
      </c>
      <c r="D565" s="84"/>
      <c r="E565" s="3" t="s">
        <v>59</v>
      </c>
      <c r="F565" s="29">
        <v>540.32500000000005</v>
      </c>
      <c r="G565" s="29">
        <v>0</v>
      </c>
      <c r="H565" s="29">
        <f>F565*AO565</f>
        <v>0</v>
      </c>
      <c r="I565" s="29">
        <f>F565*AP565</f>
        <v>0</v>
      </c>
      <c r="J565" s="29">
        <f>F565*G565</f>
        <v>0</v>
      </c>
      <c r="K565" s="30" t="s">
        <v>60</v>
      </c>
      <c r="Z565" s="29">
        <f>IF(AQ565="5",BJ565,0)</f>
        <v>0</v>
      </c>
      <c r="AB565" s="29">
        <f>IF(AQ565="1",BH565,0)</f>
        <v>0</v>
      </c>
      <c r="AC565" s="29">
        <f>IF(AQ565="1",BI565,0)</f>
        <v>0</v>
      </c>
      <c r="AD565" s="29">
        <f>IF(AQ565="7",BH565,0)</f>
        <v>0</v>
      </c>
      <c r="AE565" s="29">
        <f>IF(AQ565="7",BI565,0)</f>
        <v>0</v>
      </c>
      <c r="AF565" s="29">
        <f>IF(AQ565="2",BH565,0)</f>
        <v>0</v>
      </c>
      <c r="AG565" s="29">
        <f>IF(AQ565="2",BI565,0)</f>
        <v>0</v>
      </c>
      <c r="AH565" s="29">
        <f>IF(AQ565="0",BJ565,0)</f>
        <v>0</v>
      </c>
      <c r="AI565" s="11" t="s">
        <v>433</v>
      </c>
      <c r="AJ565" s="29">
        <f>IF(AN565=0,J565,0)</f>
        <v>0</v>
      </c>
      <c r="AK565" s="29">
        <f>IF(AN565=12,J565,0)</f>
        <v>0</v>
      </c>
      <c r="AL565" s="29">
        <f>IF(AN565=21,J565,0)</f>
        <v>0</v>
      </c>
      <c r="AN565" s="29">
        <v>21</v>
      </c>
      <c r="AO565" s="29">
        <f>G565*0.57085306</f>
        <v>0</v>
      </c>
      <c r="AP565" s="29">
        <f>G565*(1-0.57085306)</f>
        <v>0</v>
      </c>
      <c r="AQ565" s="31" t="s">
        <v>117</v>
      </c>
      <c r="AV565" s="29">
        <f>AW565+AX565</f>
        <v>0</v>
      </c>
      <c r="AW565" s="29">
        <f>F565*AO565</f>
        <v>0</v>
      </c>
      <c r="AX565" s="29">
        <f>F565*AP565</f>
        <v>0</v>
      </c>
      <c r="AY565" s="31" t="s">
        <v>329</v>
      </c>
      <c r="AZ565" s="31" t="s">
        <v>950</v>
      </c>
      <c r="BA565" s="11" t="s">
        <v>439</v>
      </c>
      <c r="BC565" s="29">
        <f>AW565+AX565</f>
        <v>0</v>
      </c>
      <c r="BD565" s="29">
        <f>G565/(100-BE565)*100</f>
        <v>0</v>
      </c>
      <c r="BE565" s="29">
        <v>0</v>
      </c>
      <c r="BF565" s="29">
        <f>565</f>
        <v>565</v>
      </c>
      <c r="BH565" s="29">
        <f>F565*AO565</f>
        <v>0</v>
      </c>
      <c r="BI565" s="29">
        <f>F565*AP565</f>
        <v>0</v>
      </c>
      <c r="BJ565" s="29">
        <f>F565*G565</f>
        <v>0</v>
      </c>
      <c r="BK565" s="29"/>
      <c r="BL565" s="29">
        <v>783</v>
      </c>
      <c r="BW565" s="29">
        <v>21</v>
      </c>
      <c r="BX565" s="5" t="s">
        <v>969</v>
      </c>
    </row>
    <row r="566" spans="1:76" ht="14.4" x14ac:dyDescent="0.3">
      <c r="A566" s="32"/>
      <c r="C566" s="33" t="s">
        <v>665</v>
      </c>
      <c r="D566" s="33" t="s">
        <v>210</v>
      </c>
      <c r="F566" s="34">
        <v>177.01499999999999</v>
      </c>
      <c r="K566" s="35"/>
    </row>
    <row r="567" spans="1:76" ht="14.4" x14ac:dyDescent="0.3">
      <c r="A567" s="32"/>
      <c r="C567" s="33" t="s">
        <v>575</v>
      </c>
      <c r="D567" s="33" t="s">
        <v>211</v>
      </c>
      <c r="F567" s="34">
        <v>179.405</v>
      </c>
      <c r="K567" s="35"/>
    </row>
    <row r="568" spans="1:76" ht="14.4" x14ac:dyDescent="0.3">
      <c r="A568" s="32"/>
      <c r="C568" s="33" t="s">
        <v>666</v>
      </c>
      <c r="D568" s="33" t="s">
        <v>213</v>
      </c>
      <c r="F568" s="34">
        <v>183.905</v>
      </c>
      <c r="K568" s="35"/>
    </row>
    <row r="569" spans="1:76" ht="26.4" x14ac:dyDescent="0.3">
      <c r="A569" s="2" t="s">
        <v>970</v>
      </c>
      <c r="B569" s="3" t="s">
        <v>971</v>
      </c>
      <c r="C569" s="87" t="s">
        <v>972</v>
      </c>
      <c r="D569" s="84"/>
      <c r="E569" s="3" t="s">
        <v>59</v>
      </c>
      <c r="F569" s="29">
        <v>540.32500000000005</v>
      </c>
      <c r="G569" s="29">
        <v>0</v>
      </c>
      <c r="H569" s="29">
        <f>F569*AO569</f>
        <v>0</v>
      </c>
      <c r="I569" s="29">
        <f>F569*AP569</f>
        <v>0</v>
      </c>
      <c r="J569" s="29">
        <f>F569*G569</f>
        <v>0</v>
      </c>
      <c r="K569" s="30" t="s">
        <v>60</v>
      </c>
      <c r="Z569" s="29">
        <f>IF(AQ569="5",BJ569,0)</f>
        <v>0</v>
      </c>
      <c r="AB569" s="29">
        <f>IF(AQ569="1",BH569,0)</f>
        <v>0</v>
      </c>
      <c r="AC569" s="29">
        <f>IF(AQ569="1",BI569,0)</f>
        <v>0</v>
      </c>
      <c r="AD569" s="29">
        <f>IF(AQ569="7",BH569,0)</f>
        <v>0</v>
      </c>
      <c r="AE569" s="29">
        <f>IF(AQ569="7",BI569,0)</f>
        <v>0</v>
      </c>
      <c r="AF569" s="29">
        <f>IF(AQ569="2",BH569,0)</f>
        <v>0</v>
      </c>
      <c r="AG569" s="29">
        <f>IF(AQ569="2",BI569,0)</f>
        <v>0</v>
      </c>
      <c r="AH569" s="29">
        <f>IF(AQ569="0",BJ569,0)</f>
        <v>0</v>
      </c>
      <c r="AI569" s="11" t="s">
        <v>433</v>
      </c>
      <c r="AJ569" s="29">
        <f>IF(AN569=0,J569,0)</f>
        <v>0</v>
      </c>
      <c r="AK569" s="29">
        <f>IF(AN569=12,J569,0)</f>
        <v>0</v>
      </c>
      <c r="AL569" s="29">
        <f>IF(AN569=21,J569,0)</f>
        <v>0</v>
      </c>
      <c r="AN569" s="29">
        <v>21</v>
      </c>
      <c r="AO569" s="29">
        <f>G569*0.4362879</f>
        <v>0</v>
      </c>
      <c r="AP569" s="29">
        <f>G569*(1-0.4362879)</f>
        <v>0</v>
      </c>
      <c r="AQ569" s="31" t="s">
        <v>117</v>
      </c>
      <c r="AV569" s="29">
        <f>AW569+AX569</f>
        <v>0</v>
      </c>
      <c r="AW569" s="29">
        <f>F569*AO569</f>
        <v>0</v>
      </c>
      <c r="AX569" s="29">
        <f>F569*AP569</f>
        <v>0</v>
      </c>
      <c r="AY569" s="31" t="s">
        <v>329</v>
      </c>
      <c r="AZ569" s="31" t="s">
        <v>950</v>
      </c>
      <c r="BA569" s="11" t="s">
        <v>439</v>
      </c>
      <c r="BC569" s="29">
        <f>AW569+AX569</f>
        <v>0</v>
      </c>
      <c r="BD569" s="29">
        <f>G569/(100-BE569)*100</f>
        <v>0</v>
      </c>
      <c r="BE569" s="29">
        <v>0</v>
      </c>
      <c r="BF569" s="29">
        <f>569</f>
        <v>569</v>
      </c>
      <c r="BH569" s="29">
        <f>F569*AO569</f>
        <v>0</v>
      </c>
      <c r="BI569" s="29">
        <f>F569*AP569</f>
        <v>0</v>
      </c>
      <c r="BJ569" s="29">
        <f>F569*G569</f>
        <v>0</v>
      </c>
      <c r="BK569" s="29"/>
      <c r="BL569" s="29">
        <v>783</v>
      </c>
      <c r="BW569" s="29">
        <v>21</v>
      </c>
      <c r="BX569" s="5" t="s">
        <v>972</v>
      </c>
    </row>
    <row r="570" spans="1:76" ht="14.4" x14ac:dyDescent="0.3">
      <c r="A570" s="32"/>
      <c r="C570" s="33" t="s">
        <v>665</v>
      </c>
      <c r="D570" s="33" t="s">
        <v>210</v>
      </c>
      <c r="F570" s="34">
        <v>177.01499999999999</v>
      </c>
      <c r="K570" s="35"/>
    </row>
    <row r="571" spans="1:76" ht="14.4" x14ac:dyDescent="0.3">
      <c r="A571" s="32"/>
      <c r="C571" s="33" t="s">
        <v>575</v>
      </c>
      <c r="D571" s="33" t="s">
        <v>211</v>
      </c>
      <c r="F571" s="34">
        <v>179.405</v>
      </c>
      <c r="K571" s="35"/>
    </row>
    <row r="572" spans="1:76" ht="14.4" x14ac:dyDescent="0.3">
      <c r="A572" s="32"/>
      <c r="C572" s="33" t="s">
        <v>666</v>
      </c>
      <c r="D572" s="33" t="s">
        <v>213</v>
      </c>
      <c r="F572" s="34">
        <v>183.905</v>
      </c>
      <c r="K572" s="35"/>
    </row>
    <row r="573" spans="1:76" ht="14.4" x14ac:dyDescent="0.3">
      <c r="A573" s="2" t="s">
        <v>973</v>
      </c>
      <c r="B573" s="3" t="s">
        <v>974</v>
      </c>
      <c r="C573" s="87" t="s">
        <v>975</v>
      </c>
      <c r="D573" s="84"/>
      <c r="E573" s="3" t="s">
        <v>59</v>
      </c>
      <c r="F573" s="29">
        <v>25.59</v>
      </c>
      <c r="G573" s="29">
        <v>0</v>
      </c>
      <c r="H573" s="29">
        <f>F573*AO573</f>
        <v>0</v>
      </c>
      <c r="I573" s="29">
        <f>F573*AP573</f>
        <v>0</v>
      </c>
      <c r="J573" s="29">
        <f>F573*G573</f>
        <v>0</v>
      </c>
      <c r="K573" s="30" t="s">
        <v>60</v>
      </c>
      <c r="Z573" s="29">
        <f>IF(AQ573="5",BJ573,0)</f>
        <v>0</v>
      </c>
      <c r="AB573" s="29">
        <f>IF(AQ573="1",BH573,0)</f>
        <v>0</v>
      </c>
      <c r="AC573" s="29">
        <f>IF(AQ573="1",BI573,0)</f>
        <v>0</v>
      </c>
      <c r="AD573" s="29">
        <f>IF(AQ573="7",BH573,0)</f>
        <v>0</v>
      </c>
      <c r="AE573" s="29">
        <f>IF(AQ573="7",BI573,0)</f>
        <v>0</v>
      </c>
      <c r="AF573" s="29">
        <f>IF(AQ573="2",BH573,0)</f>
        <v>0</v>
      </c>
      <c r="AG573" s="29">
        <f>IF(AQ573="2",BI573,0)</f>
        <v>0</v>
      </c>
      <c r="AH573" s="29">
        <f>IF(AQ573="0",BJ573,0)</f>
        <v>0</v>
      </c>
      <c r="AI573" s="11" t="s">
        <v>433</v>
      </c>
      <c r="AJ573" s="29">
        <f>IF(AN573=0,J573,0)</f>
        <v>0</v>
      </c>
      <c r="AK573" s="29">
        <f>IF(AN573=12,J573,0)</f>
        <v>0</v>
      </c>
      <c r="AL573" s="29">
        <f>IF(AN573=21,J573,0)</f>
        <v>0</v>
      </c>
      <c r="AN573" s="29">
        <v>21</v>
      </c>
      <c r="AO573" s="29">
        <f>G573*0.396755705</f>
        <v>0</v>
      </c>
      <c r="AP573" s="29">
        <f>G573*(1-0.396755705)</f>
        <v>0</v>
      </c>
      <c r="AQ573" s="31" t="s">
        <v>117</v>
      </c>
      <c r="AV573" s="29">
        <f>AW573+AX573</f>
        <v>0</v>
      </c>
      <c r="AW573" s="29">
        <f>F573*AO573</f>
        <v>0</v>
      </c>
      <c r="AX573" s="29">
        <f>F573*AP573</f>
        <v>0</v>
      </c>
      <c r="AY573" s="31" t="s">
        <v>329</v>
      </c>
      <c r="AZ573" s="31" t="s">
        <v>950</v>
      </c>
      <c r="BA573" s="11" t="s">
        <v>439</v>
      </c>
      <c r="BC573" s="29">
        <f>AW573+AX573</f>
        <v>0</v>
      </c>
      <c r="BD573" s="29">
        <f>G573/(100-BE573)*100</f>
        <v>0</v>
      </c>
      <c r="BE573" s="29">
        <v>0</v>
      </c>
      <c r="BF573" s="29">
        <f>573</f>
        <v>573</v>
      </c>
      <c r="BH573" s="29">
        <f>F573*AO573</f>
        <v>0</v>
      </c>
      <c r="BI573" s="29">
        <f>F573*AP573</f>
        <v>0</v>
      </c>
      <c r="BJ573" s="29">
        <f>F573*G573</f>
        <v>0</v>
      </c>
      <c r="BK573" s="29"/>
      <c r="BL573" s="29">
        <v>783</v>
      </c>
      <c r="BW573" s="29">
        <v>21</v>
      </c>
      <c r="BX573" s="5" t="s">
        <v>975</v>
      </c>
    </row>
    <row r="574" spans="1:76" ht="14.4" x14ac:dyDescent="0.3">
      <c r="A574" s="32"/>
      <c r="C574" s="33" t="s">
        <v>616</v>
      </c>
      <c r="D574" s="33" t="s">
        <v>369</v>
      </c>
      <c r="F574" s="34">
        <v>1.94</v>
      </c>
      <c r="K574" s="35"/>
    </row>
    <row r="575" spans="1:76" ht="14.4" x14ac:dyDescent="0.3">
      <c r="A575" s="32"/>
      <c r="C575" s="33" t="s">
        <v>617</v>
      </c>
      <c r="D575" s="33" t="s">
        <v>371</v>
      </c>
      <c r="F575" s="34">
        <v>16.25</v>
      </c>
      <c r="K575" s="35"/>
    </row>
    <row r="576" spans="1:76" ht="14.4" x14ac:dyDescent="0.3">
      <c r="A576" s="32"/>
      <c r="C576" s="33" t="s">
        <v>618</v>
      </c>
      <c r="D576" s="33" t="s">
        <v>496</v>
      </c>
      <c r="F576" s="34">
        <v>7.4</v>
      </c>
      <c r="K576" s="35"/>
    </row>
    <row r="577" spans="1:76" ht="14.4" x14ac:dyDescent="0.3">
      <c r="A577" s="25" t="s">
        <v>51</v>
      </c>
      <c r="B577" s="26" t="s">
        <v>976</v>
      </c>
      <c r="C577" s="143" t="s">
        <v>977</v>
      </c>
      <c r="D577" s="144"/>
      <c r="E577" s="27" t="s">
        <v>4</v>
      </c>
      <c r="F577" s="27" t="s">
        <v>4</v>
      </c>
      <c r="G577" s="27" t="s">
        <v>4</v>
      </c>
      <c r="H577" s="1">
        <f>SUM(H578:H596)</f>
        <v>0</v>
      </c>
      <c r="I577" s="1">
        <f>SUM(I578:I596)</f>
        <v>0</v>
      </c>
      <c r="J577" s="1">
        <f>SUM(J578:J596)</f>
        <v>0</v>
      </c>
      <c r="K577" s="28" t="s">
        <v>51</v>
      </c>
      <c r="AI577" s="11" t="s">
        <v>433</v>
      </c>
      <c r="AS577" s="1">
        <f>SUM(AJ578:AJ596)</f>
        <v>0</v>
      </c>
      <c r="AT577" s="1">
        <f>SUM(AK578:AK596)</f>
        <v>0</v>
      </c>
      <c r="AU577" s="1">
        <f>SUM(AL578:AL596)</f>
        <v>0</v>
      </c>
    </row>
    <row r="578" spans="1:76" ht="14.4" x14ac:dyDescent="0.3">
      <c r="A578" s="2" t="s">
        <v>978</v>
      </c>
      <c r="B578" s="3" t="s">
        <v>979</v>
      </c>
      <c r="C578" s="87" t="s">
        <v>980</v>
      </c>
      <c r="D578" s="84"/>
      <c r="E578" s="3" t="s">
        <v>59</v>
      </c>
      <c r="F578" s="29">
        <v>475.30279999999999</v>
      </c>
      <c r="G578" s="29">
        <v>0</v>
      </c>
      <c r="H578" s="29">
        <f>F578*AO578</f>
        <v>0</v>
      </c>
      <c r="I578" s="29">
        <f>F578*AP578</f>
        <v>0</v>
      </c>
      <c r="J578" s="29">
        <f>F578*G578</f>
        <v>0</v>
      </c>
      <c r="K578" s="30" t="s">
        <v>60</v>
      </c>
      <c r="Z578" s="29">
        <f>IF(AQ578="5",BJ578,0)</f>
        <v>0</v>
      </c>
      <c r="AB578" s="29">
        <f>IF(AQ578="1",BH578,0)</f>
        <v>0</v>
      </c>
      <c r="AC578" s="29">
        <f>IF(AQ578="1",BI578,0)</f>
        <v>0</v>
      </c>
      <c r="AD578" s="29">
        <f>IF(AQ578="7",BH578,0)</f>
        <v>0</v>
      </c>
      <c r="AE578" s="29">
        <f>IF(AQ578="7",BI578,0)</f>
        <v>0</v>
      </c>
      <c r="AF578" s="29">
        <f>IF(AQ578="2",BH578,0)</f>
        <v>0</v>
      </c>
      <c r="AG578" s="29">
        <f>IF(AQ578="2",BI578,0)</f>
        <v>0</v>
      </c>
      <c r="AH578" s="29">
        <f>IF(AQ578="0",BJ578,0)</f>
        <v>0</v>
      </c>
      <c r="AI578" s="11" t="s">
        <v>433</v>
      </c>
      <c r="AJ578" s="29">
        <f>IF(AN578=0,J578,0)</f>
        <v>0</v>
      </c>
      <c r="AK578" s="29">
        <f>IF(AN578=12,J578,0)</f>
        <v>0</v>
      </c>
      <c r="AL578" s="29">
        <f>IF(AN578=21,J578,0)</f>
        <v>0</v>
      </c>
      <c r="AN578" s="29">
        <v>21</v>
      </c>
      <c r="AO578" s="29">
        <f>G578*0.282664012</f>
        <v>0</v>
      </c>
      <c r="AP578" s="29">
        <f>G578*(1-0.282664012)</f>
        <v>0</v>
      </c>
      <c r="AQ578" s="31" t="s">
        <v>117</v>
      </c>
      <c r="AV578" s="29">
        <f>AW578+AX578</f>
        <v>0</v>
      </c>
      <c r="AW578" s="29">
        <f>F578*AO578</f>
        <v>0</v>
      </c>
      <c r="AX578" s="29">
        <f>F578*AP578</f>
        <v>0</v>
      </c>
      <c r="AY578" s="31" t="s">
        <v>981</v>
      </c>
      <c r="AZ578" s="31" t="s">
        <v>950</v>
      </c>
      <c r="BA578" s="11" t="s">
        <v>439</v>
      </c>
      <c r="BC578" s="29">
        <f>AW578+AX578</f>
        <v>0</v>
      </c>
      <c r="BD578" s="29">
        <f>G578/(100-BE578)*100</f>
        <v>0</v>
      </c>
      <c r="BE578" s="29">
        <v>0</v>
      </c>
      <c r="BF578" s="29">
        <f>578</f>
        <v>578</v>
      </c>
      <c r="BH578" s="29">
        <f>F578*AO578</f>
        <v>0</v>
      </c>
      <c r="BI578" s="29">
        <f>F578*AP578</f>
        <v>0</v>
      </c>
      <c r="BJ578" s="29">
        <f>F578*G578</f>
        <v>0</v>
      </c>
      <c r="BK578" s="29"/>
      <c r="BL578" s="29">
        <v>784</v>
      </c>
      <c r="BW578" s="29">
        <v>21</v>
      </c>
      <c r="BX578" s="5" t="s">
        <v>980</v>
      </c>
    </row>
    <row r="579" spans="1:76" ht="14.4" x14ac:dyDescent="0.3">
      <c r="A579" s="32"/>
      <c r="C579" s="33" t="s">
        <v>51</v>
      </c>
      <c r="D579" s="33" t="s">
        <v>982</v>
      </c>
      <c r="F579" s="34">
        <v>0</v>
      </c>
      <c r="K579" s="35"/>
    </row>
    <row r="580" spans="1:76" ht="14.4" x14ac:dyDescent="0.3">
      <c r="A580" s="32"/>
      <c r="C580" s="33" t="s">
        <v>468</v>
      </c>
      <c r="D580" s="33" t="s">
        <v>210</v>
      </c>
      <c r="F580" s="34">
        <v>67.64</v>
      </c>
      <c r="K580" s="35"/>
    </row>
    <row r="581" spans="1:76" ht="14.4" x14ac:dyDescent="0.3">
      <c r="A581" s="32"/>
      <c r="C581" s="33" t="s">
        <v>469</v>
      </c>
      <c r="D581" s="33" t="s">
        <v>51</v>
      </c>
      <c r="F581" s="34">
        <v>36.619999999999997</v>
      </c>
      <c r="K581" s="35"/>
    </row>
    <row r="582" spans="1:76" ht="14.4" x14ac:dyDescent="0.3">
      <c r="A582" s="32"/>
      <c r="C582" s="33" t="s">
        <v>468</v>
      </c>
      <c r="D582" s="33" t="s">
        <v>51</v>
      </c>
      <c r="F582" s="34">
        <v>67.64</v>
      </c>
      <c r="K582" s="35"/>
    </row>
    <row r="583" spans="1:76" ht="14.4" x14ac:dyDescent="0.3">
      <c r="A583" s="32"/>
      <c r="C583" s="33" t="s">
        <v>470</v>
      </c>
      <c r="D583" s="33" t="s">
        <v>51</v>
      </c>
      <c r="F583" s="34">
        <v>6.1315999999999997</v>
      </c>
      <c r="K583" s="35"/>
    </row>
    <row r="584" spans="1:76" ht="14.4" x14ac:dyDescent="0.3">
      <c r="A584" s="32"/>
      <c r="C584" s="33" t="s">
        <v>471</v>
      </c>
      <c r="D584" s="33" t="s">
        <v>211</v>
      </c>
      <c r="F584" s="34">
        <v>71.238</v>
      </c>
      <c r="K584" s="35"/>
    </row>
    <row r="585" spans="1:76" ht="14.4" x14ac:dyDescent="0.3">
      <c r="A585" s="32"/>
      <c r="C585" s="33" t="s">
        <v>472</v>
      </c>
      <c r="D585" s="33" t="s">
        <v>51</v>
      </c>
      <c r="F585" s="34">
        <v>36.354500000000002</v>
      </c>
      <c r="K585" s="35"/>
    </row>
    <row r="586" spans="1:76" ht="14.4" x14ac:dyDescent="0.3">
      <c r="A586" s="32"/>
      <c r="C586" s="33" t="s">
        <v>471</v>
      </c>
      <c r="D586" s="33" t="s">
        <v>51</v>
      </c>
      <c r="F586" s="34">
        <v>71.238</v>
      </c>
      <c r="K586" s="35"/>
    </row>
    <row r="587" spans="1:76" ht="14.4" x14ac:dyDescent="0.3">
      <c r="A587" s="32"/>
      <c r="C587" s="33" t="s">
        <v>473</v>
      </c>
      <c r="D587" s="33" t="s">
        <v>51</v>
      </c>
      <c r="F587" s="34">
        <v>5.8661000000000003</v>
      </c>
      <c r="K587" s="35"/>
    </row>
    <row r="588" spans="1:76" ht="14.4" x14ac:dyDescent="0.3">
      <c r="A588" s="32"/>
      <c r="C588" s="33" t="s">
        <v>474</v>
      </c>
      <c r="D588" s="33" t="s">
        <v>213</v>
      </c>
      <c r="F588" s="34">
        <v>67.260000000000005</v>
      </c>
      <c r="K588" s="35"/>
    </row>
    <row r="589" spans="1:76" ht="14.4" x14ac:dyDescent="0.3">
      <c r="A589" s="32"/>
      <c r="C589" s="33" t="s">
        <v>475</v>
      </c>
      <c r="D589" s="33" t="s">
        <v>51</v>
      </c>
      <c r="F589" s="34">
        <v>38.14</v>
      </c>
      <c r="K589" s="35"/>
    </row>
    <row r="590" spans="1:76" ht="14.4" x14ac:dyDescent="0.3">
      <c r="A590" s="32"/>
      <c r="C590" s="33" t="s">
        <v>476</v>
      </c>
      <c r="D590" s="33" t="s">
        <v>51</v>
      </c>
      <c r="F590" s="34">
        <v>7.1745999999999999</v>
      </c>
      <c r="K590" s="35"/>
    </row>
    <row r="591" spans="1:76" ht="14.4" x14ac:dyDescent="0.3">
      <c r="A591" s="2" t="s">
        <v>983</v>
      </c>
      <c r="B591" s="3" t="s">
        <v>984</v>
      </c>
      <c r="C591" s="87" t="s">
        <v>985</v>
      </c>
      <c r="D591" s="84"/>
      <c r="E591" s="3" t="s">
        <v>59</v>
      </c>
      <c r="F591" s="29">
        <v>475.30279999999999</v>
      </c>
      <c r="G591" s="29">
        <v>0</v>
      </c>
      <c r="H591" s="29">
        <f>F591*AO591</f>
        <v>0</v>
      </c>
      <c r="I591" s="29">
        <f>F591*AP591</f>
        <v>0</v>
      </c>
      <c r="J591" s="29">
        <f>F591*G591</f>
        <v>0</v>
      </c>
      <c r="K591" s="30" t="s">
        <v>60</v>
      </c>
      <c r="Z591" s="29">
        <f>IF(AQ591="5",BJ591,0)</f>
        <v>0</v>
      </c>
      <c r="AB591" s="29">
        <f>IF(AQ591="1",BH591,0)</f>
        <v>0</v>
      </c>
      <c r="AC591" s="29">
        <f>IF(AQ591="1",BI591,0)</f>
        <v>0</v>
      </c>
      <c r="AD591" s="29">
        <f>IF(AQ591="7",BH591,0)</f>
        <v>0</v>
      </c>
      <c r="AE591" s="29">
        <f>IF(AQ591="7",BI591,0)</f>
        <v>0</v>
      </c>
      <c r="AF591" s="29">
        <f>IF(AQ591="2",BH591,0)</f>
        <v>0</v>
      </c>
      <c r="AG591" s="29">
        <f>IF(AQ591="2",BI591,0)</f>
        <v>0</v>
      </c>
      <c r="AH591" s="29">
        <f>IF(AQ591="0",BJ591,0)</f>
        <v>0</v>
      </c>
      <c r="AI591" s="11" t="s">
        <v>433</v>
      </c>
      <c r="AJ591" s="29">
        <f>IF(AN591=0,J591,0)</f>
        <v>0</v>
      </c>
      <c r="AK591" s="29">
        <f>IF(AN591=12,J591,0)</f>
        <v>0</v>
      </c>
      <c r="AL591" s="29">
        <f>IF(AN591=21,J591,0)</f>
        <v>0</v>
      </c>
      <c r="AN591" s="29">
        <v>21</v>
      </c>
      <c r="AO591" s="29">
        <f>G591*0.251533683</f>
        <v>0</v>
      </c>
      <c r="AP591" s="29">
        <f>G591*(1-0.251533683)</f>
        <v>0</v>
      </c>
      <c r="AQ591" s="31" t="s">
        <v>117</v>
      </c>
      <c r="AV591" s="29">
        <f>AW591+AX591</f>
        <v>0</v>
      </c>
      <c r="AW591" s="29">
        <f>F591*AO591</f>
        <v>0</v>
      </c>
      <c r="AX591" s="29">
        <f>F591*AP591</f>
        <v>0</v>
      </c>
      <c r="AY591" s="31" t="s">
        <v>981</v>
      </c>
      <c r="AZ591" s="31" t="s">
        <v>950</v>
      </c>
      <c r="BA591" s="11" t="s">
        <v>439</v>
      </c>
      <c r="BC591" s="29">
        <f>AW591+AX591</f>
        <v>0</v>
      </c>
      <c r="BD591" s="29">
        <f>G591/(100-BE591)*100</f>
        <v>0</v>
      </c>
      <c r="BE591" s="29">
        <v>0</v>
      </c>
      <c r="BF591" s="29">
        <f>591</f>
        <v>591</v>
      </c>
      <c r="BH591" s="29">
        <f>F591*AO591</f>
        <v>0</v>
      </c>
      <c r="BI591" s="29">
        <f>F591*AP591</f>
        <v>0</v>
      </c>
      <c r="BJ591" s="29">
        <f>F591*G591</f>
        <v>0</v>
      </c>
      <c r="BK591" s="29"/>
      <c r="BL591" s="29">
        <v>784</v>
      </c>
      <c r="BW591" s="29">
        <v>21</v>
      </c>
      <c r="BX591" s="5" t="s">
        <v>985</v>
      </c>
    </row>
    <row r="592" spans="1:76" ht="14.4" x14ac:dyDescent="0.3">
      <c r="A592" s="2" t="s">
        <v>986</v>
      </c>
      <c r="B592" s="3" t="s">
        <v>987</v>
      </c>
      <c r="C592" s="87" t="s">
        <v>988</v>
      </c>
      <c r="D592" s="84"/>
      <c r="E592" s="3" t="s">
        <v>59</v>
      </c>
      <c r="F592" s="29">
        <v>557.65</v>
      </c>
      <c r="G592" s="29">
        <v>0</v>
      </c>
      <c r="H592" s="29">
        <f>F592*AO592</f>
        <v>0</v>
      </c>
      <c r="I592" s="29">
        <f>F592*AP592</f>
        <v>0</v>
      </c>
      <c r="J592" s="29">
        <f>F592*G592</f>
        <v>0</v>
      </c>
      <c r="K592" s="30" t="s">
        <v>60</v>
      </c>
      <c r="Z592" s="29">
        <f>IF(AQ592="5",BJ592,0)</f>
        <v>0</v>
      </c>
      <c r="AB592" s="29">
        <f>IF(AQ592="1",BH592,0)</f>
        <v>0</v>
      </c>
      <c r="AC592" s="29">
        <f>IF(AQ592="1",BI592,0)</f>
        <v>0</v>
      </c>
      <c r="AD592" s="29">
        <f>IF(AQ592="7",BH592,0)</f>
        <v>0</v>
      </c>
      <c r="AE592" s="29">
        <f>IF(AQ592="7",BI592,0)</f>
        <v>0</v>
      </c>
      <c r="AF592" s="29">
        <f>IF(AQ592="2",BH592,0)</f>
        <v>0</v>
      </c>
      <c r="AG592" s="29">
        <f>IF(AQ592="2",BI592,0)</f>
        <v>0</v>
      </c>
      <c r="AH592" s="29">
        <f>IF(AQ592="0",BJ592,0)</f>
        <v>0</v>
      </c>
      <c r="AI592" s="11" t="s">
        <v>433</v>
      </c>
      <c r="AJ592" s="29">
        <f>IF(AN592=0,J592,0)</f>
        <v>0</v>
      </c>
      <c r="AK592" s="29">
        <f>IF(AN592=12,J592,0)</f>
        <v>0</v>
      </c>
      <c r="AL592" s="29">
        <f>IF(AN592=21,J592,0)</f>
        <v>0</v>
      </c>
      <c r="AN592" s="29">
        <v>21</v>
      </c>
      <c r="AO592" s="29">
        <f>G592*0.600481031</f>
        <v>0</v>
      </c>
      <c r="AP592" s="29">
        <f>G592*(1-0.600481031)</f>
        <v>0</v>
      </c>
      <c r="AQ592" s="31" t="s">
        <v>117</v>
      </c>
      <c r="AV592" s="29">
        <f>AW592+AX592</f>
        <v>0</v>
      </c>
      <c r="AW592" s="29">
        <f>F592*AO592</f>
        <v>0</v>
      </c>
      <c r="AX592" s="29">
        <f>F592*AP592</f>
        <v>0</v>
      </c>
      <c r="AY592" s="31" t="s">
        <v>981</v>
      </c>
      <c r="AZ592" s="31" t="s">
        <v>950</v>
      </c>
      <c r="BA592" s="11" t="s">
        <v>439</v>
      </c>
      <c r="BC592" s="29">
        <f>AW592+AX592</f>
        <v>0</v>
      </c>
      <c r="BD592" s="29">
        <f>G592/(100-BE592)*100</f>
        <v>0</v>
      </c>
      <c r="BE592" s="29">
        <v>0</v>
      </c>
      <c r="BF592" s="29">
        <f>592</f>
        <v>592</v>
      </c>
      <c r="BH592" s="29">
        <f>F592*AO592</f>
        <v>0</v>
      </c>
      <c r="BI592" s="29">
        <f>F592*AP592</f>
        <v>0</v>
      </c>
      <c r="BJ592" s="29">
        <f>F592*G592</f>
        <v>0</v>
      </c>
      <c r="BK592" s="29"/>
      <c r="BL592" s="29">
        <v>784</v>
      </c>
      <c r="BW592" s="29">
        <v>21</v>
      </c>
      <c r="BX592" s="5" t="s">
        <v>988</v>
      </c>
    </row>
    <row r="593" spans="1:76" ht="14.4" x14ac:dyDescent="0.3">
      <c r="A593" s="32"/>
      <c r="C593" s="33" t="s">
        <v>209</v>
      </c>
      <c r="D593" s="33" t="s">
        <v>210</v>
      </c>
      <c r="F593" s="34">
        <v>182.68</v>
      </c>
      <c r="K593" s="35"/>
    </row>
    <row r="594" spans="1:76" ht="14.4" x14ac:dyDescent="0.3">
      <c r="A594" s="32"/>
      <c r="C594" s="33" t="s">
        <v>124</v>
      </c>
      <c r="D594" s="33" t="s">
        <v>211</v>
      </c>
      <c r="F594" s="34">
        <v>185.18</v>
      </c>
      <c r="K594" s="35"/>
    </row>
    <row r="595" spans="1:76" ht="14.4" x14ac:dyDescent="0.3">
      <c r="A595" s="32"/>
      <c r="C595" s="33" t="s">
        <v>212</v>
      </c>
      <c r="D595" s="33" t="s">
        <v>213</v>
      </c>
      <c r="F595" s="34">
        <v>189.79</v>
      </c>
      <c r="K595" s="35"/>
    </row>
    <row r="596" spans="1:76" ht="26.4" x14ac:dyDescent="0.3">
      <c r="A596" s="2" t="s">
        <v>989</v>
      </c>
      <c r="B596" s="3" t="s">
        <v>990</v>
      </c>
      <c r="C596" s="87" t="s">
        <v>991</v>
      </c>
      <c r="D596" s="84"/>
      <c r="E596" s="3" t="s">
        <v>59</v>
      </c>
      <c r="F596" s="29">
        <v>29.26</v>
      </c>
      <c r="G596" s="29">
        <v>0</v>
      </c>
      <c r="H596" s="29">
        <f>F596*AO596</f>
        <v>0</v>
      </c>
      <c r="I596" s="29">
        <f>F596*AP596</f>
        <v>0</v>
      </c>
      <c r="J596" s="29">
        <f>F596*G596</f>
        <v>0</v>
      </c>
      <c r="K596" s="30" t="s">
        <v>60</v>
      </c>
      <c r="Z596" s="29">
        <f>IF(AQ596="5",BJ596,0)</f>
        <v>0</v>
      </c>
      <c r="AB596" s="29">
        <f>IF(AQ596="1",BH596,0)</f>
        <v>0</v>
      </c>
      <c r="AC596" s="29">
        <f>IF(AQ596="1",BI596,0)</f>
        <v>0</v>
      </c>
      <c r="AD596" s="29">
        <f>IF(AQ596="7",BH596,0)</f>
        <v>0</v>
      </c>
      <c r="AE596" s="29">
        <f>IF(AQ596="7",BI596,0)</f>
        <v>0</v>
      </c>
      <c r="AF596" s="29">
        <f>IF(AQ596="2",BH596,0)</f>
        <v>0</v>
      </c>
      <c r="AG596" s="29">
        <f>IF(AQ596="2",BI596,0)</f>
        <v>0</v>
      </c>
      <c r="AH596" s="29">
        <f>IF(AQ596="0",BJ596,0)</f>
        <v>0</v>
      </c>
      <c r="AI596" s="11" t="s">
        <v>433</v>
      </c>
      <c r="AJ596" s="29">
        <f>IF(AN596=0,J596,0)</f>
        <v>0</v>
      </c>
      <c r="AK596" s="29">
        <f>IF(AN596=12,J596,0)</f>
        <v>0</v>
      </c>
      <c r="AL596" s="29">
        <f>IF(AN596=21,J596,0)</f>
        <v>0</v>
      </c>
      <c r="AN596" s="29">
        <v>21</v>
      </c>
      <c r="AO596" s="29">
        <f>G596*0.284243306</f>
        <v>0</v>
      </c>
      <c r="AP596" s="29">
        <f>G596*(1-0.284243306)</f>
        <v>0</v>
      </c>
      <c r="AQ596" s="31" t="s">
        <v>117</v>
      </c>
      <c r="AV596" s="29">
        <f>AW596+AX596</f>
        <v>0</v>
      </c>
      <c r="AW596" s="29">
        <f>F596*AO596</f>
        <v>0</v>
      </c>
      <c r="AX596" s="29">
        <f>F596*AP596</f>
        <v>0</v>
      </c>
      <c r="AY596" s="31" t="s">
        <v>981</v>
      </c>
      <c r="AZ596" s="31" t="s">
        <v>950</v>
      </c>
      <c r="BA596" s="11" t="s">
        <v>439</v>
      </c>
      <c r="BC596" s="29">
        <f>AW596+AX596</f>
        <v>0</v>
      </c>
      <c r="BD596" s="29">
        <f>G596/(100-BE596)*100</f>
        <v>0</v>
      </c>
      <c r="BE596" s="29">
        <v>0</v>
      </c>
      <c r="BF596" s="29">
        <f>596</f>
        <v>596</v>
      </c>
      <c r="BH596" s="29">
        <f>F596*AO596</f>
        <v>0</v>
      </c>
      <c r="BI596" s="29">
        <f>F596*AP596</f>
        <v>0</v>
      </c>
      <c r="BJ596" s="29">
        <f>F596*G596</f>
        <v>0</v>
      </c>
      <c r="BK596" s="29"/>
      <c r="BL596" s="29">
        <v>784</v>
      </c>
      <c r="BW596" s="29">
        <v>21</v>
      </c>
      <c r="BX596" s="5" t="s">
        <v>991</v>
      </c>
    </row>
    <row r="597" spans="1:76" ht="14.4" x14ac:dyDescent="0.3">
      <c r="A597" s="32"/>
      <c r="C597" s="33" t="s">
        <v>992</v>
      </c>
      <c r="D597" s="33" t="s">
        <v>993</v>
      </c>
      <c r="F597" s="34">
        <v>29.26</v>
      </c>
      <c r="K597" s="35"/>
    </row>
    <row r="598" spans="1:76" ht="14.4" x14ac:dyDescent="0.3">
      <c r="A598" s="25" t="s">
        <v>51</v>
      </c>
      <c r="B598" s="26" t="s">
        <v>583</v>
      </c>
      <c r="C598" s="143" t="s">
        <v>994</v>
      </c>
      <c r="D598" s="144"/>
      <c r="E598" s="27" t="s">
        <v>4</v>
      </c>
      <c r="F598" s="27" t="s">
        <v>4</v>
      </c>
      <c r="G598" s="27" t="s">
        <v>4</v>
      </c>
      <c r="H598" s="1">
        <f>SUM(H599:H601)</f>
        <v>0</v>
      </c>
      <c r="I598" s="1">
        <f>SUM(I599:I601)</f>
        <v>0</v>
      </c>
      <c r="J598" s="1">
        <f>SUM(J599:J601)</f>
        <v>0</v>
      </c>
      <c r="K598" s="28" t="s">
        <v>51</v>
      </c>
      <c r="AI598" s="11" t="s">
        <v>433</v>
      </c>
      <c r="AS598" s="1">
        <f>SUM(AJ599:AJ601)</f>
        <v>0</v>
      </c>
      <c r="AT598" s="1">
        <f>SUM(AK599:AK601)</f>
        <v>0</v>
      </c>
      <c r="AU598" s="1">
        <f>SUM(AL599:AL601)</f>
        <v>0</v>
      </c>
    </row>
    <row r="599" spans="1:76" ht="14.4" x14ac:dyDescent="0.3">
      <c r="A599" s="2" t="s">
        <v>995</v>
      </c>
      <c r="B599" s="3" t="s">
        <v>996</v>
      </c>
      <c r="C599" s="87" t="s">
        <v>997</v>
      </c>
      <c r="D599" s="84"/>
      <c r="E599" s="3" t="s">
        <v>73</v>
      </c>
      <c r="F599" s="29">
        <v>25.2</v>
      </c>
      <c r="G599" s="29">
        <v>0</v>
      </c>
      <c r="H599" s="29">
        <f>F599*AO599</f>
        <v>0</v>
      </c>
      <c r="I599" s="29">
        <f>F599*AP599</f>
        <v>0</v>
      </c>
      <c r="J599" s="29">
        <f>F599*G599</f>
        <v>0</v>
      </c>
      <c r="K599" s="30" t="s">
        <v>60</v>
      </c>
      <c r="Z599" s="29">
        <f>IF(AQ599="5",BJ599,0)</f>
        <v>0</v>
      </c>
      <c r="AB599" s="29">
        <f>IF(AQ599="1",BH599,0)</f>
        <v>0</v>
      </c>
      <c r="AC599" s="29">
        <f>IF(AQ599="1",BI599,0)</f>
        <v>0</v>
      </c>
      <c r="AD599" s="29">
        <f>IF(AQ599="7",BH599,0)</f>
        <v>0</v>
      </c>
      <c r="AE599" s="29">
        <f>IF(AQ599="7",BI599,0)</f>
        <v>0</v>
      </c>
      <c r="AF599" s="29">
        <f>IF(AQ599="2",BH599,0)</f>
        <v>0</v>
      </c>
      <c r="AG599" s="29">
        <f>IF(AQ599="2",BI599,0)</f>
        <v>0</v>
      </c>
      <c r="AH599" s="29">
        <f>IF(AQ599="0",BJ599,0)</f>
        <v>0</v>
      </c>
      <c r="AI599" s="11" t="s">
        <v>433</v>
      </c>
      <c r="AJ599" s="29">
        <f>IF(AN599=0,J599,0)</f>
        <v>0</v>
      </c>
      <c r="AK599" s="29">
        <f>IF(AN599=12,J599,0)</f>
        <v>0</v>
      </c>
      <c r="AL599" s="29">
        <f>IF(AN599=21,J599,0)</f>
        <v>0</v>
      </c>
      <c r="AN599" s="29">
        <v>21</v>
      </c>
      <c r="AO599" s="29">
        <f>G599*0.711326531</f>
        <v>0</v>
      </c>
      <c r="AP599" s="29">
        <f>G599*(1-0.711326531)</f>
        <v>0</v>
      </c>
      <c r="AQ599" s="31" t="s">
        <v>56</v>
      </c>
      <c r="AV599" s="29">
        <f>AW599+AX599</f>
        <v>0</v>
      </c>
      <c r="AW599" s="29">
        <f>F599*AO599</f>
        <v>0</v>
      </c>
      <c r="AX599" s="29">
        <f>F599*AP599</f>
        <v>0</v>
      </c>
      <c r="AY599" s="31" t="s">
        <v>998</v>
      </c>
      <c r="AZ599" s="31" t="s">
        <v>689</v>
      </c>
      <c r="BA599" s="11" t="s">
        <v>439</v>
      </c>
      <c r="BC599" s="29">
        <f>AW599+AX599</f>
        <v>0</v>
      </c>
      <c r="BD599" s="29">
        <f>G599/(100-BE599)*100</f>
        <v>0</v>
      </c>
      <c r="BE599" s="29">
        <v>0</v>
      </c>
      <c r="BF599" s="29">
        <f>599</f>
        <v>599</v>
      </c>
      <c r="BH599" s="29">
        <f>F599*AO599</f>
        <v>0</v>
      </c>
      <c r="BI599" s="29">
        <f>F599*AP599</f>
        <v>0</v>
      </c>
      <c r="BJ599" s="29">
        <f>F599*G599</f>
        <v>0</v>
      </c>
      <c r="BK599" s="29"/>
      <c r="BL599" s="29">
        <v>91</v>
      </c>
      <c r="BW599" s="29">
        <v>21</v>
      </c>
      <c r="BX599" s="5" t="s">
        <v>997</v>
      </c>
    </row>
    <row r="600" spans="1:76" ht="14.4" x14ac:dyDescent="0.3">
      <c r="A600" s="32"/>
      <c r="C600" s="33" t="s">
        <v>999</v>
      </c>
      <c r="D600" s="33" t="s">
        <v>1000</v>
      </c>
      <c r="F600" s="34">
        <v>25.2</v>
      </c>
      <c r="K600" s="35"/>
    </row>
    <row r="601" spans="1:76" ht="14.4" x14ac:dyDescent="0.3">
      <c r="A601" s="2" t="s">
        <v>1001</v>
      </c>
      <c r="B601" s="3" t="s">
        <v>1002</v>
      </c>
      <c r="C601" s="87" t="s">
        <v>1003</v>
      </c>
      <c r="D601" s="84"/>
      <c r="E601" s="3" t="s">
        <v>129</v>
      </c>
      <c r="F601" s="29">
        <v>0.504</v>
      </c>
      <c r="G601" s="29">
        <v>0</v>
      </c>
      <c r="H601" s="29">
        <f>F601*AO601</f>
        <v>0</v>
      </c>
      <c r="I601" s="29">
        <f>F601*AP601</f>
        <v>0</v>
      </c>
      <c r="J601" s="29">
        <f>F601*G601</f>
        <v>0</v>
      </c>
      <c r="K601" s="30" t="s">
        <v>60</v>
      </c>
      <c r="Z601" s="29">
        <f>IF(AQ601="5",BJ601,0)</f>
        <v>0</v>
      </c>
      <c r="AB601" s="29">
        <f>IF(AQ601="1",BH601,0)</f>
        <v>0</v>
      </c>
      <c r="AC601" s="29">
        <f>IF(AQ601="1",BI601,0)</f>
        <v>0</v>
      </c>
      <c r="AD601" s="29">
        <f>IF(AQ601="7",BH601,0)</f>
        <v>0</v>
      </c>
      <c r="AE601" s="29">
        <f>IF(AQ601="7",BI601,0)</f>
        <v>0</v>
      </c>
      <c r="AF601" s="29">
        <f>IF(AQ601="2",BH601,0)</f>
        <v>0</v>
      </c>
      <c r="AG601" s="29">
        <f>IF(AQ601="2",BI601,0)</f>
        <v>0</v>
      </c>
      <c r="AH601" s="29">
        <f>IF(AQ601="0",BJ601,0)</f>
        <v>0</v>
      </c>
      <c r="AI601" s="11" t="s">
        <v>433</v>
      </c>
      <c r="AJ601" s="29">
        <f>IF(AN601=0,J601,0)</f>
        <v>0</v>
      </c>
      <c r="AK601" s="29">
        <f>IF(AN601=12,J601,0)</f>
        <v>0</v>
      </c>
      <c r="AL601" s="29">
        <f>IF(AN601=21,J601,0)</f>
        <v>0</v>
      </c>
      <c r="AN601" s="29">
        <v>21</v>
      </c>
      <c r="AO601" s="29">
        <f>G601*0.787361057</f>
        <v>0</v>
      </c>
      <c r="AP601" s="29">
        <f>G601*(1-0.787361057)</f>
        <v>0</v>
      </c>
      <c r="AQ601" s="31" t="s">
        <v>56</v>
      </c>
      <c r="AV601" s="29">
        <f>AW601+AX601</f>
        <v>0</v>
      </c>
      <c r="AW601" s="29">
        <f>F601*AO601</f>
        <v>0</v>
      </c>
      <c r="AX601" s="29">
        <f>F601*AP601</f>
        <v>0</v>
      </c>
      <c r="AY601" s="31" t="s">
        <v>998</v>
      </c>
      <c r="AZ601" s="31" t="s">
        <v>689</v>
      </c>
      <c r="BA601" s="11" t="s">
        <v>439</v>
      </c>
      <c r="BC601" s="29">
        <f>AW601+AX601</f>
        <v>0</v>
      </c>
      <c r="BD601" s="29">
        <f>G601/(100-BE601)*100</f>
        <v>0</v>
      </c>
      <c r="BE601" s="29">
        <v>0</v>
      </c>
      <c r="BF601" s="29">
        <f>601</f>
        <v>601</v>
      </c>
      <c r="BH601" s="29">
        <f>F601*AO601</f>
        <v>0</v>
      </c>
      <c r="BI601" s="29">
        <f>F601*AP601</f>
        <v>0</v>
      </c>
      <c r="BJ601" s="29">
        <f>F601*G601</f>
        <v>0</v>
      </c>
      <c r="BK601" s="29"/>
      <c r="BL601" s="29">
        <v>91</v>
      </c>
      <c r="BW601" s="29">
        <v>21</v>
      </c>
      <c r="BX601" s="5" t="s">
        <v>1003</v>
      </c>
    </row>
    <row r="602" spans="1:76" ht="14.4" x14ac:dyDescent="0.3">
      <c r="A602" s="32"/>
      <c r="C602" s="33" t="s">
        <v>1004</v>
      </c>
      <c r="D602" s="33" t="s">
        <v>1000</v>
      </c>
      <c r="F602" s="34">
        <v>0.504</v>
      </c>
      <c r="K602" s="35"/>
    </row>
    <row r="603" spans="1:76" ht="14.4" x14ac:dyDescent="0.3">
      <c r="A603" s="25" t="s">
        <v>51</v>
      </c>
      <c r="B603" s="26" t="s">
        <v>601</v>
      </c>
      <c r="C603" s="143" t="s">
        <v>1005</v>
      </c>
      <c r="D603" s="144"/>
      <c r="E603" s="27" t="s">
        <v>4</v>
      </c>
      <c r="F603" s="27" t="s">
        <v>4</v>
      </c>
      <c r="G603" s="27" t="s">
        <v>4</v>
      </c>
      <c r="H603" s="1">
        <f>SUM(H604:H619)</f>
        <v>0</v>
      </c>
      <c r="I603" s="1">
        <f>SUM(I604:I619)</f>
        <v>0</v>
      </c>
      <c r="J603" s="1">
        <f>SUM(J604:J619)</f>
        <v>0</v>
      </c>
      <c r="K603" s="28" t="s">
        <v>51</v>
      </c>
      <c r="AI603" s="11" t="s">
        <v>433</v>
      </c>
      <c r="AS603" s="1">
        <f>SUM(AJ604:AJ619)</f>
        <v>0</v>
      </c>
      <c r="AT603" s="1">
        <f>SUM(AK604:AK619)</f>
        <v>0</v>
      </c>
      <c r="AU603" s="1">
        <f>SUM(AL604:AL619)</f>
        <v>0</v>
      </c>
    </row>
    <row r="604" spans="1:76" ht="14.4" x14ac:dyDescent="0.3">
      <c r="A604" s="2" t="s">
        <v>1006</v>
      </c>
      <c r="B604" s="3" t="s">
        <v>1007</v>
      </c>
      <c r="C604" s="87" t="s">
        <v>1008</v>
      </c>
      <c r="D604" s="84"/>
      <c r="E604" s="3" t="s">
        <v>103</v>
      </c>
      <c r="F604" s="29">
        <v>3</v>
      </c>
      <c r="G604" s="29">
        <v>0</v>
      </c>
      <c r="H604" s="29">
        <f>F604*AO604</f>
        <v>0</v>
      </c>
      <c r="I604" s="29">
        <f>F604*AP604</f>
        <v>0</v>
      </c>
      <c r="J604" s="29">
        <f>F604*G604</f>
        <v>0</v>
      </c>
      <c r="K604" s="30" t="s">
        <v>60</v>
      </c>
      <c r="Z604" s="29">
        <f>IF(AQ604="5",BJ604,0)</f>
        <v>0</v>
      </c>
      <c r="AB604" s="29">
        <f>IF(AQ604="1",BH604,0)</f>
        <v>0</v>
      </c>
      <c r="AC604" s="29">
        <f>IF(AQ604="1",BI604,0)</f>
        <v>0</v>
      </c>
      <c r="AD604" s="29">
        <f>IF(AQ604="7",BH604,0)</f>
        <v>0</v>
      </c>
      <c r="AE604" s="29">
        <f>IF(AQ604="7",BI604,0)</f>
        <v>0</v>
      </c>
      <c r="AF604" s="29">
        <f>IF(AQ604="2",BH604,0)</f>
        <v>0</v>
      </c>
      <c r="AG604" s="29">
        <f>IF(AQ604="2",BI604,0)</f>
        <v>0</v>
      </c>
      <c r="AH604" s="29">
        <f>IF(AQ604="0",BJ604,0)</f>
        <v>0</v>
      </c>
      <c r="AI604" s="11" t="s">
        <v>433</v>
      </c>
      <c r="AJ604" s="29">
        <f>IF(AN604=0,J604,0)</f>
        <v>0</v>
      </c>
      <c r="AK604" s="29">
        <f>IF(AN604=12,J604,0)</f>
        <v>0</v>
      </c>
      <c r="AL604" s="29">
        <f>IF(AN604=21,J604,0)</f>
        <v>0</v>
      </c>
      <c r="AN604" s="29">
        <v>21</v>
      </c>
      <c r="AO604" s="29">
        <f>G604*0</f>
        <v>0</v>
      </c>
      <c r="AP604" s="29">
        <f>G604*(1-0)</f>
        <v>0</v>
      </c>
      <c r="AQ604" s="31" t="s">
        <v>56</v>
      </c>
      <c r="AV604" s="29">
        <f>AW604+AX604</f>
        <v>0</v>
      </c>
      <c r="AW604" s="29">
        <f>F604*AO604</f>
        <v>0</v>
      </c>
      <c r="AX604" s="29">
        <f>F604*AP604</f>
        <v>0</v>
      </c>
      <c r="AY604" s="31" t="s">
        <v>1009</v>
      </c>
      <c r="AZ604" s="31" t="s">
        <v>689</v>
      </c>
      <c r="BA604" s="11" t="s">
        <v>439</v>
      </c>
      <c r="BC604" s="29">
        <f>AW604+AX604</f>
        <v>0</v>
      </c>
      <c r="BD604" s="29">
        <f>G604/(100-BE604)*100</f>
        <v>0</v>
      </c>
      <c r="BE604" s="29">
        <v>0</v>
      </c>
      <c r="BF604" s="29">
        <f>604</f>
        <v>604</v>
      </c>
      <c r="BH604" s="29">
        <f>F604*AO604</f>
        <v>0</v>
      </c>
      <c r="BI604" s="29">
        <f>F604*AP604</f>
        <v>0</v>
      </c>
      <c r="BJ604" s="29">
        <f>F604*G604</f>
        <v>0</v>
      </c>
      <c r="BK604" s="29"/>
      <c r="BL604" s="29">
        <v>95</v>
      </c>
      <c r="BW604" s="29">
        <v>21</v>
      </c>
      <c r="BX604" s="5" t="s">
        <v>1008</v>
      </c>
    </row>
    <row r="605" spans="1:76" ht="14.4" x14ac:dyDescent="0.3">
      <c r="A605" s="2" t="s">
        <v>1010</v>
      </c>
      <c r="B605" s="3" t="s">
        <v>1011</v>
      </c>
      <c r="C605" s="87" t="s">
        <v>1012</v>
      </c>
      <c r="D605" s="84"/>
      <c r="E605" s="3" t="s">
        <v>103</v>
      </c>
      <c r="F605" s="29">
        <v>3</v>
      </c>
      <c r="G605" s="29">
        <v>0</v>
      </c>
      <c r="H605" s="29">
        <f>F605*AO605</f>
        <v>0</v>
      </c>
      <c r="I605" s="29">
        <f>F605*AP605</f>
        <v>0</v>
      </c>
      <c r="J605" s="29">
        <f>F605*G605</f>
        <v>0</v>
      </c>
      <c r="K605" s="30" t="s">
        <v>60</v>
      </c>
      <c r="Z605" s="29">
        <f>IF(AQ605="5",BJ605,0)</f>
        <v>0</v>
      </c>
      <c r="AB605" s="29">
        <f>IF(AQ605="1",BH605,0)</f>
        <v>0</v>
      </c>
      <c r="AC605" s="29">
        <f>IF(AQ605="1",BI605,0)</f>
        <v>0</v>
      </c>
      <c r="AD605" s="29">
        <f>IF(AQ605="7",BH605,0)</f>
        <v>0</v>
      </c>
      <c r="AE605" s="29">
        <f>IF(AQ605="7",BI605,0)</f>
        <v>0</v>
      </c>
      <c r="AF605" s="29">
        <f>IF(AQ605="2",BH605,0)</f>
        <v>0</v>
      </c>
      <c r="AG605" s="29">
        <f>IF(AQ605="2",BI605,0)</f>
        <v>0</v>
      </c>
      <c r="AH605" s="29">
        <f>IF(AQ605="0",BJ605,0)</f>
        <v>0</v>
      </c>
      <c r="AI605" s="11" t="s">
        <v>433</v>
      </c>
      <c r="AJ605" s="29">
        <f>IF(AN605=0,J605,0)</f>
        <v>0</v>
      </c>
      <c r="AK605" s="29">
        <f>IF(AN605=12,J605,0)</f>
        <v>0</v>
      </c>
      <c r="AL605" s="29">
        <f>IF(AN605=21,J605,0)</f>
        <v>0</v>
      </c>
      <c r="AN605" s="29">
        <v>21</v>
      </c>
      <c r="AO605" s="29">
        <f>G605*0.155518882</f>
        <v>0</v>
      </c>
      <c r="AP605" s="29">
        <f>G605*(1-0.155518882)</f>
        <v>0</v>
      </c>
      <c r="AQ605" s="31" t="s">
        <v>56</v>
      </c>
      <c r="AV605" s="29">
        <f>AW605+AX605</f>
        <v>0</v>
      </c>
      <c r="AW605" s="29">
        <f>F605*AO605</f>
        <v>0</v>
      </c>
      <c r="AX605" s="29">
        <f>F605*AP605</f>
        <v>0</v>
      </c>
      <c r="AY605" s="31" t="s">
        <v>1009</v>
      </c>
      <c r="AZ605" s="31" t="s">
        <v>689</v>
      </c>
      <c r="BA605" s="11" t="s">
        <v>439</v>
      </c>
      <c r="BC605" s="29">
        <f>AW605+AX605</f>
        <v>0</v>
      </c>
      <c r="BD605" s="29">
        <f>G605/(100-BE605)*100</f>
        <v>0</v>
      </c>
      <c r="BE605" s="29">
        <v>0</v>
      </c>
      <c r="BF605" s="29">
        <f>605</f>
        <v>605</v>
      </c>
      <c r="BH605" s="29">
        <f>F605*AO605</f>
        <v>0</v>
      </c>
      <c r="BI605" s="29">
        <f>F605*AP605</f>
        <v>0</v>
      </c>
      <c r="BJ605" s="29">
        <f>F605*G605</f>
        <v>0</v>
      </c>
      <c r="BK605" s="29"/>
      <c r="BL605" s="29">
        <v>95</v>
      </c>
      <c r="BW605" s="29">
        <v>21</v>
      </c>
      <c r="BX605" s="5" t="s">
        <v>1012</v>
      </c>
    </row>
    <row r="606" spans="1:76" ht="14.4" x14ac:dyDescent="0.3">
      <c r="A606" s="2" t="s">
        <v>1013</v>
      </c>
      <c r="B606" s="3" t="s">
        <v>1014</v>
      </c>
      <c r="C606" s="87" t="s">
        <v>1015</v>
      </c>
      <c r="D606" s="84"/>
      <c r="E606" s="3" t="s">
        <v>103</v>
      </c>
      <c r="F606" s="29">
        <v>3</v>
      </c>
      <c r="G606" s="29">
        <v>0</v>
      </c>
      <c r="H606" s="29">
        <f>F606*AO606</f>
        <v>0</v>
      </c>
      <c r="I606" s="29">
        <f>F606*AP606</f>
        <v>0</v>
      </c>
      <c r="J606" s="29">
        <f>F606*G606</f>
        <v>0</v>
      </c>
      <c r="K606" s="30" t="s">
        <v>250</v>
      </c>
      <c r="Z606" s="29">
        <f>IF(AQ606="5",BJ606,0)</f>
        <v>0</v>
      </c>
      <c r="AB606" s="29">
        <f>IF(AQ606="1",BH606,0)</f>
        <v>0</v>
      </c>
      <c r="AC606" s="29">
        <f>IF(AQ606="1",BI606,0)</f>
        <v>0</v>
      </c>
      <c r="AD606" s="29">
        <f>IF(AQ606="7",BH606,0)</f>
        <v>0</v>
      </c>
      <c r="AE606" s="29">
        <f>IF(AQ606="7",BI606,0)</f>
        <v>0</v>
      </c>
      <c r="AF606" s="29">
        <f>IF(AQ606="2",BH606,0)</f>
        <v>0</v>
      </c>
      <c r="AG606" s="29">
        <f>IF(AQ606="2",BI606,0)</f>
        <v>0</v>
      </c>
      <c r="AH606" s="29">
        <f>IF(AQ606="0",BJ606,0)</f>
        <v>0</v>
      </c>
      <c r="AI606" s="11" t="s">
        <v>433</v>
      </c>
      <c r="AJ606" s="29">
        <f>IF(AN606=0,J606,0)</f>
        <v>0</v>
      </c>
      <c r="AK606" s="29">
        <f>IF(AN606=12,J606,0)</f>
        <v>0</v>
      </c>
      <c r="AL606" s="29">
        <f>IF(AN606=21,J606,0)</f>
        <v>0</v>
      </c>
      <c r="AN606" s="29">
        <v>21</v>
      </c>
      <c r="AO606" s="29">
        <f>G606*1</f>
        <v>0</v>
      </c>
      <c r="AP606" s="29">
        <f>G606*(1-1)</f>
        <v>0</v>
      </c>
      <c r="AQ606" s="31" t="s">
        <v>56</v>
      </c>
      <c r="AV606" s="29">
        <f>AW606+AX606</f>
        <v>0</v>
      </c>
      <c r="AW606" s="29">
        <f>F606*AO606</f>
        <v>0</v>
      </c>
      <c r="AX606" s="29">
        <f>F606*AP606</f>
        <v>0</v>
      </c>
      <c r="AY606" s="31" t="s">
        <v>1009</v>
      </c>
      <c r="AZ606" s="31" t="s">
        <v>689</v>
      </c>
      <c r="BA606" s="11" t="s">
        <v>439</v>
      </c>
      <c r="BC606" s="29">
        <f>AW606+AX606</f>
        <v>0</v>
      </c>
      <c r="BD606" s="29">
        <f>G606/(100-BE606)*100</f>
        <v>0</v>
      </c>
      <c r="BE606" s="29">
        <v>0</v>
      </c>
      <c r="BF606" s="29">
        <f>606</f>
        <v>606</v>
      </c>
      <c r="BH606" s="29">
        <f>F606*AO606</f>
        <v>0</v>
      </c>
      <c r="BI606" s="29">
        <f>F606*AP606</f>
        <v>0</v>
      </c>
      <c r="BJ606" s="29">
        <f>F606*G606</f>
        <v>0</v>
      </c>
      <c r="BK606" s="29"/>
      <c r="BL606" s="29">
        <v>95</v>
      </c>
      <c r="BW606" s="29">
        <v>21</v>
      </c>
      <c r="BX606" s="5" t="s">
        <v>1015</v>
      </c>
    </row>
    <row r="607" spans="1:76" ht="26.4" x14ac:dyDescent="0.3">
      <c r="A607" s="2" t="s">
        <v>1016</v>
      </c>
      <c r="B607" s="3" t="s">
        <v>1017</v>
      </c>
      <c r="C607" s="87" t="s">
        <v>1018</v>
      </c>
      <c r="D607" s="84"/>
      <c r="E607" s="3" t="s">
        <v>350</v>
      </c>
      <c r="F607" s="29">
        <v>3</v>
      </c>
      <c r="G607" s="29">
        <v>0</v>
      </c>
      <c r="H607" s="29">
        <f>F607*AO607</f>
        <v>0</v>
      </c>
      <c r="I607" s="29">
        <f>F607*AP607</f>
        <v>0</v>
      </c>
      <c r="J607" s="29">
        <f>F607*G607</f>
        <v>0</v>
      </c>
      <c r="K607" s="30" t="s">
        <v>60</v>
      </c>
      <c r="Z607" s="29">
        <f>IF(AQ607="5",BJ607,0)</f>
        <v>0</v>
      </c>
      <c r="AB607" s="29">
        <f>IF(AQ607="1",BH607,0)</f>
        <v>0</v>
      </c>
      <c r="AC607" s="29">
        <f>IF(AQ607="1",BI607,0)</f>
        <v>0</v>
      </c>
      <c r="AD607" s="29">
        <f>IF(AQ607="7",BH607,0)</f>
        <v>0</v>
      </c>
      <c r="AE607" s="29">
        <f>IF(AQ607="7",BI607,0)</f>
        <v>0</v>
      </c>
      <c r="AF607" s="29">
        <f>IF(AQ607="2",BH607,0)</f>
        <v>0</v>
      </c>
      <c r="AG607" s="29">
        <f>IF(AQ607="2",BI607,0)</f>
        <v>0</v>
      </c>
      <c r="AH607" s="29">
        <f>IF(AQ607="0",BJ607,0)</f>
        <v>0</v>
      </c>
      <c r="AI607" s="11" t="s">
        <v>433</v>
      </c>
      <c r="AJ607" s="29">
        <f>IF(AN607=0,J607,0)</f>
        <v>0</v>
      </c>
      <c r="AK607" s="29">
        <f>IF(AN607=12,J607,0)</f>
        <v>0</v>
      </c>
      <c r="AL607" s="29">
        <f>IF(AN607=21,J607,0)</f>
        <v>0</v>
      </c>
      <c r="AN607" s="29">
        <v>21</v>
      </c>
      <c r="AO607" s="29">
        <f>G607*0.772451985</f>
        <v>0</v>
      </c>
      <c r="AP607" s="29">
        <f>G607*(1-0.772451985)</f>
        <v>0</v>
      </c>
      <c r="AQ607" s="31" t="s">
        <v>56</v>
      </c>
      <c r="AV607" s="29">
        <f>AW607+AX607</f>
        <v>0</v>
      </c>
      <c r="AW607" s="29">
        <f>F607*AO607</f>
        <v>0</v>
      </c>
      <c r="AX607" s="29">
        <f>F607*AP607</f>
        <v>0</v>
      </c>
      <c r="AY607" s="31" t="s">
        <v>1009</v>
      </c>
      <c r="AZ607" s="31" t="s">
        <v>689</v>
      </c>
      <c r="BA607" s="11" t="s">
        <v>439</v>
      </c>
      <c r="BC607" s="29">
        <f>AW607+AX607</f>
        <v>0</v>
      </c>
      <c r="BD607" s="29">
        <f>G607/(100-BE607)*100</f>
        <v>0</v>
      </c>
      <c r="BE607" s="29">
        <v>0</v>
      </c>
      <c r="BF607" s="29">
        <f>607</f>
        <v>607</v>
      </c>
      <c r="BH607" s="29">
        <f>F607*AO607</f>
        <v>0</v>
      </c>
      <c r="BI607" s="29">
        <f>F607*AP607</f>
        <v>0</v>
      </c>
      <c r="BJ607" s="29">
        <f>F607*G607</f>
        <v>0</v>
      </c>
      <c r="BK607" s="29"/>
      <c r="BL607" s="29">
        <v>95</v>
      </c>
      <c r="BW607" s="29">
        <v>21</v>
      </c>
      <c r="BX607" s="5" t="s">
        <v>1018</v>
      </c>
    </row>
    <row r="608" spans="1:76" ht="14.4" x14ac:dyDescent="0.3">
      <c r="A608" s="2" t="s">
        <v>1019</v>
      </c>
      <c r="B608" s="3" t="s">
        <v>1020</v>
      </c>
      <c r="C608" s="87" t="s">
        <v>1021</v>
      </c>
      <c r="D608" s="84"/>
      <c r="E608" s="3" t="s">
        <v>1022</v>
      </c>
      <c r="F608" s="29">
        <v>6</v>
      </c>
      <c r="G608" s="29">
        <v>0</v>
      </c>
      <c r="H608" s="29">
        <f>F608*AO608</f>
        <v>0</v>
      </c>
      <c r="I608" s="29">
        <f>F608*AP608</f>
        <v>0</v>
      </c>
      <c r="J608" s="29">
        <f>F608*G608</f>
        <v>0</v>
      </c>
      <c r="K608" s="30" t="s">
        <v>60</v>
      </c>
      <c r="Z608" s="29">
        <f>IF(AQ608="5",BJ608,0)</f>
        <v>0</v>
      </c>
      <c r="AB608" s="29">
        <f>IF(AQ608="1",BH608,0)</f>
        <v>0</v>
      </c>
      <c r="AC608" s="29">
        <f>IF(AQ608="1",BI608,0)</f>
        <v>0</v>
      </c>
      <c r="AD608" s="29">
        <f>IF(AQ608="7",BH608,0)</f>
        <v>0</v>
      </c>
      <c r="AE608" s="29">
        <f>IF(AQ608="7",BI608,0)</f>
        <v>0</v>
      </c>
      <c r="AF608" s="29">
        <f>IF(AQ608="2",BH608,0)</f>
        <v>0</v>
      </c>
      <c r="AG608" s="29">
        <f>IF(AQ608="2",BI608,0)</f>
        <v>0</v>
      </c>
      <c r="AH608" s="29">
        <f>IF(AQ608="0",BJ608,0)</f>
        <v>0</v>
      </c>
      <c r="AI608" s="11" t="s">
        <v>433</v>
      </c>
      <c r="AJ608" s="29">
        <f>IF(AN608=0,J608,0)</f>
        <v>0</v>
      </c>
      <c r="AK608" s="29">
        <f>IF(AN608=12,J608,0)</f>
        <v>0</v>
      </c>
      <c r="AL608" s="29">
        <f>IF(AN608=21,J608,0)</f>
        <v>0</v>
      </c>
      <c r="AN608" s="29">
        <v>21</v>
      </c>
      <c r="AO608" s="29">
        <f>G608*0.775620022</f>
        <v>0</v>
      </c>
      <c r="AP608" s="29">
        <f>G608*(1-0.775620022)</f>
        <v>0</v>
      </c>
      <c r="AQ608" s="31" t="s">
        <v>56</v>
      </c>
      <c r="AV608" s="29">
        <f>AW608+AX608</f>
        <v>0</v>
      </c>
      <c r="AW608" s="29">
        <f>F608*AO608</f>
        <v>0</v>
      </c>
      <c r="AX608" s="29">
        <f>F608*AP608</f>
        <v>0</v>
      </c>
      <c r="AY608" s="31" t="s">
        <v>1009</v>
      </c>
      <c r="AZ608" s="31" t="s">
        <v>689</v>
      </c>
      <c r="BA608" s="11" t="s">
        <v>439</v>
      </c>
      <c r="BC608" s="29">
        <f>AW608+AX608</f>
        <v>0</v>
      </c>
      <c r="BD608" s="29">
        <f>G608/(100-BE608)*100</f>
        <v>0</v>
      </c>
      <c r="BE608" s="29">
        <v>0</v>
      </c>
      <c r="BF608" s="29">
        <f>608</f>
        <v>608</v>
      </c>
      <c r="BH608" s="29">
        <f>F608*AO608</f>
        <v>0</v>
      </c>
      <c r="BI608" s="29">
        <f>F608*AP608</f>
        <v>0</v>
      </c>
      <c r="BJ608" s="29">
        <f>F608*G608</f>
        <v>0</v>
      </c>
      <c r="BK608" s="29"/>
      <c r="BL608" s="29">
        <v>95</v>
      </c>
      <c r="BW608" s="29">
        <v>21</v>
      </c>
      <c r="BX608" s="5" t="s">
        <v>1021</v>
      </c>
    </row>
    <row r="609" spans="1:76" ht="14.4" x14ac:dyDescent="0.3">
      <c r="A609" s="32"/>
      <c r="C609" s="33" t="s">
        <v>108</v>
      </c>
      <c r="D609" s="33" t="s">
        <v>51</v>
      </c>
      <c r="F609" s="34">
        <v>6</v>
      </c>
      <c r="K609" s="35"/>
    </row>
    <row r="610" spans="1:76" ht="14.4" x14ac:dyDescent="0.3">
      <c r="A610" s="2" t="s">
        <v>1023</v>
      </c>
      <c r="B610" s="3" t="s">
        <v>1024</v>
      </c>
      <c r="C610" s="87" t="s">
        <v>1025</v>
      </c>
      <c r="D610" s="84"/>
      <c r="E610" s="3" t="s">
        <v>1022</v>
      </c>
      <c r="F610" s="29">
        <v>1</v>
      </c>
      <c r="G610" s="29">
        <v>0</v>
      </c>
      <c r="H610" s="29">
        <f>F610*AO610</f>
        <v>0</v>
      </c>
      <c r="I610" s="29">
        <f>F610*AP610</f>
        <v>0</v>
      </c>
      <c r="J610" s="29">
        <f>F610*G610</f>
        <v>0</v>
      </c>
      <c r="K610" s="30" t="s">
        <v>60</v>
      </c>
      <c r="Z610" s="29">
        <f>IF(AQ610="5",BJ610,0)</f>
        <v>0</v>
      </c>
      <c r="AB610" s="29">
        <f>IF(AQ610="1",BH610,0)</f>
        <v>0</v>
      </c>
      <c r="AC610" s="29">
        <f>IF(AQ610="1",BI610,0)</f>
        <v>0</v>
      </c>
      <c r="AD610" s="29">
        <f>IF(AQ610="7",BH610,0)</f>
        <v>0</v>
      </c>
      <c r="AE610" s="29">
        <f>IF(AQ610="7",BI610,0)</f>
        <v>0</v>
      </c>
      <c r="AF610" s="29">
        <f>IF(AQ610="2",BH610,0)</f>
        <v>0</v>
      </c>
      <c r="AG610" s="29">
        <f>IF(AQ610="2",BI610,0)</f>
        <v>0</v>
      </c>
      <c r="AH610" s="29">
        <f>IF(AQ610="0",BJ610,0)</f>
        <v>0</v>
      </c>
      <c r="AI610" s="11" t="s">
        <v>433</v>
      </c>
      <c r="AJ610" s="29">
        <f>IF(AN610=0,J610,0)</f>
        <v>0</v>
      </c>
      <c r="AK610" s="29">
        <f>IF(AN610=12,J610,0)</f>
        <v>0</v>
      </c>
      <c r="AL610" s="29">
        <f>IF(AN610=21,J610,0)</f>
        <v>0</v>
      </c>
      <c r="AN610" s="29">
        <v>21</v>
      </c>
      <c r="AO610" s="29">
        <f>G610*0.44399798</f>
        <v>0</v>
      </c>
      <c r="AP610" s="29">
        <f>G610*(1-0.44399798)</f>
        <v>0</v>
      </c>
      <c r="AQ610" s="31" t="s">
        <v>56</v>
      </c>
      <c r="AV610" s="29">
        <f>AW610+AX610</f>
        <v>0</v>
      </c>
      <c r="AW610" s="29">
        <f>F610*AO610</f>
        <v>0</v>
      </c>
      <c r="AX610" s="29">
        <f>F610*AP610</f>
        <v>0</v>
      </c>
      <c r="AY610" s="31" t="s">
        <v>1009</v>
      </c>
      <c r="AZ610" s="31" t="s">
        <v>689</v>
      </c>
      <c r="BA610" s="11" t="s">
        <v>439</v>
      </c>
      <c r="BC610" s="29">
        <f>AW610+AX610</f>
        <v>0</v>
      </c>
      <c r="BD610" s="29">
        <f>G610/(100-BE610)*100</f>
        <v>0</v>
      </c>
      <c r="BE610" s="29">
        <v>0</v>
      </c>
      <c r="BF610" s="29">
        <f>610</f>
        <v>610</v>
      </c>
      <c r="BH610" s="29">
        <f>F610*AO610</f>
        <v>0</v>
      </c>
      <c r="BI610" s="29">
        <f>F610*AP610</f>
        <v>0</v>
      </c>
      <c r="BJ610" s="29">
        <f>F610*G610</f>
        <v>0</v>
      </c>
      <c r="BK610" s="29"/>
      <c r="BL610" s="29">
        <v>95</v>
      </c>
      <c r="BW610" s="29">
        <v>21</v>
      </c>
      <c r="BX610" s="5" t="s">
        <v>1025</v>
      </c>
    </row>
    <row r="611" spans="1:76" ht="14.4" x14ac:dyDescent="0.3">
      <c r="A611" s="2" t="s">
        <v>1026</v>
      </c>
      <c r="B611" s="3" t="s">
        <v>1027</v>
      </c>
      <c r="C611" s="87" t="s">
        <v>1028</v>
      </c>
      <c r="D611" s="84"/>
      <c r="E611" s="3" t="s">
        <v>59</v>
      </c>
      <c r="F611" s="29">
        <v>557.65</v>
      </c>
      <c r="G611" s="29">
        <v>0</v>
      </c>
      <c r="H611" s="29">
        <f>F611*AO611</f>
        <v>0</v>
      </c>
      <c r="I611" s="29">
        <f>F611*AP611</f>
        <v>0</v>
      </c>
      <c r="J611" s="29">
        <f>F611*G611</f>
        <v>0</v>
      </c>
      <c r="K611" s="30" t="s">
        <v>60</v>
      </c>
      <c r="Z611" s="29">
        <f>IF(AQ611="5",BJ611,0)</f>
        <v>0</v>
      </c>
      <c r="AB611" s="29">
        <f>IF(AQ611="1",BH611,0)</f>
        <v>0</v>
      </c>
      <c r="AC611" s="29">
        <f>IF(AQ611="1",BI611,0)</f>
        <v>0</v>
      </c>
      <c r="AD611" s="29">
        <f>IF(AQ611="7",BH611,0)</f>
        <v>0</v>
      </c>
      <c r="AE611" s="29">
        <f>IF(AQ611="7",BI611,0)</f>
        <v>0</v>
      </c>
      <c r="AF611" s="29">
        <f>IF(AQ611="2",BH611,0)</f>
        <v>0</v>
      </c>
      <c r="AG611" s="29">
        <f>IF(AQ611="2",BI611,0)</f>
        <v>0</v>
      </c>
      <c r="AH611" s="29">
        <f>IF(AQ611="0",BJ611,0)</f>
        <v>0</v>
      </c>
      <c r="AI611" s="11" t="s">
        <v>433</v>
      </c>
      <c r="AJ611" s="29">
        <f>IF(AN611=0,J611,0)</f>
        <v>0</v>
      </c>
      <c r="AK611" s="29">
        <f>IF(AN611=12,J611,0)</f>
        <v>0</v>
      </c>
      <c r="AL611" s="29">
        <f>IF(AN611=21,J611,0)</f>
        <v>0</v>
      </c>
      <c r="AN611" s="29">
        <v>21</v>
      </c>
      <c r="AO611" s="29">
        <f>G611*0.001573452</f>
        <v>0</v>
      </c>
      <c r="AP611" s="29">
        <f>G611*(1-0.001573452)</f>
        <v>0</v>
      </c>
      <c r="AQ611" s="31" t="s">
        <v>56</v>
      </c>
      <c r="AV611" s="29">
        <f>AW611+AX611</f>
        <v>0</v>
      </c>
      <c r="AW611" s="29">
        <f>F611*AO611</f>
        <v>0</v>
      </c>
      <c r="AX611" s="29">
        <f>F611*AP611</f>
        <v>0</v>
      </c>
      <c r="AY611" s="31" t="s">
        <v>1009</v>
      </c>
      <c r="AZ611" s="31" t="s">
        <v>689</v>
      </c>
      <c r="BA611" s="11" t="s">
        <v>439</v>
      </c>
      <c r="BC611" s="29">
        <f>AW611+AX611</f>
        <v>0</v>
      </c>
      <c r="BD611" s="29">
        <f>G611/(100-BE611)*100</f>
        <v>0</v>
      </c>
      <c r="BE611" s="29">
        <v>0</v>
      </c>
      <c r="BF611" s="29">
        <f>611</f>
        <v>611</v>
      </c>
      <c r="BH611" s="29">
        <f>F611*AO611</f>
        <v>0</v>
      </c>
      <c r="BI611" s="29">
        <f>F611*AP611</f>
        <v>0</v>
      </c>
      <c r="BJ611" s="29">
        <f>F611*G611</f>
        <v>0</v>
      </c>
      <c r="BK611" s="29"/>
      <c r="BL611" s="29">
        <v>95</v>
      </c>
      <c r="BW611" s="29">
        <v>21</v>
      </c>
      <c r="BX611" s="5" t="s">
        <v>1028</v>
      </c>
    </row>
    <row r="612" spans="1:76" ht="14.4" x14ac:dyDescent="0.3">
      <c r="A612" s="32"/>
      <c r="C612" s="33" t="s">
        <v>209</v>
      </c>
      <c r="D612" s="33" t="s">
        <v>210</v>
      </c>
      <c r="F612" s="34">
        <v>182.68</v>
      </c>
      <c r="K612" s="35"/>
    </row>
    <row r="613" spans="1:76" ht="14.4" x14ac:dyDescent="0.3">
      <c r="A613" s="32"/>
      <c r="C613" s="33" t="s">
        <v>124</v>
      </c>
      <c r="D613" s="33" t="s">
        <v>211</v>
      </c>
      <c r="F613" s="34">
        <v>185.18</v>
      </c>
      <c r="K613" s="35"/>
    </row>
    <row r="614" spans="1:76" ht="14.4" x14ac:dyDescent="0.3">
      <c r="A614" s="32"/>
      <c r="C614" s="33" t="s">
        <v>212</v>
      </c>
      <c r="D614" s="33" t="s">
        <v>213</v>
      </c>
      <c r="F614" s="34">
        <v>189.79</v>
      </c>
      <c r="K614" s="35"/>
    </row>
    <row r="615" spans="1:76" ht="14.4" x14ac:dyDescent="0.3">
      <c r="A615" s="2" t="s">
        <v>1029</v>
      </c>
      <c r="B615" s="3" t="s">
        <v>1030</v>
      </c>
      <c r="C615" s="87" t="s">
        <v>1031</v>
      </c>
      <c r="D615" s="84"/>
      <c r="E615" s="3" t="s">
        <v>59</v>
      </c>
      <c r="F615" s="29">
        <v>108.32</v>
      </c>
      <c r="G615" s="29">
        <v>0</v>
      </c>
      <c r="H615" s="29">
        <f>F615*AO615</f>
        <v>0</v>
      </c>
      <c r="I615" s="29">
        <f>F615*AP615</f>
        <v>0</v>
      </c>
      <c r="J615" s="29">
        <f>F615*G615</f>
        <v>0</v>
      </c>
      <c r="K615" s="30" t="s">
        <v>60</v>
      </c>
      <c r="Z615" s="29">
        <f>IF(AQ615="5",BJ615,0)</f>
        <v>0</v>
      </c>
      <c r="AB615" s="29">
        <f>IF(AQ615="1",BH615,0)</f>
        <v>0</v>
      </c>
      <c r="AC615" s="29">
        <f>IF(AQ615="1",BI615,0)</f>
        <v>0</v>
      </c>
      <c r="AD615" s="29">
        <f>IF(AQ615="7",BH615,0)</f>
        <v>0</v>
      </c>
      <c r="AE615" s="29">
        <f>IF(AQ615="7",BI615,0)</f>
        <v>0</v>
      </c>
      <c r="AF615" s="29">
        <f>IF(AQ615="2",BH615,0)</f>
        <v>0</v>
      </c>
      <c r="AG615" s="29">
        <f>IF(AQ615="2",BI615,0)</f>
        <v>0</v>
      </c>
      <c r="AH615" s="29">
        <f>IF(AQ615="0",BJ615,0)</f>
        <v>0</v>
      </c>
      <c r="AI615" s="11" t="s">
        <v>433</v>
      </c>
      <c r="AJ615" s="29">
        <f>IF(AN615=0,J615,0)</f>
        <v>0</v>
      </c>
      <c r="AK615" s="29">
        <f>IF(AN615=12,J615,0)</f>
        <v>0</v>
      </c>
      <c r="AL615" s="29">
        <f>IF(AN615=21,J615,0)</f>
        <v>0</v>
      </c>
      <c r="AN615" s="29">
        <v>21</v>
      </c>
      <c r="AO615" s="29">
        <f>G615*0.019969976</f>
        <v>0</v>
      </c>
      <c r="AP615" s="29">
        <f>G615*(1-0.019969976)</f>
        <v>0</v>
      </c>
      <c r="AQ615" s="31" t="s">
        <v>56</v>
      </c>
      <c r="AV615" s="29">
        <f>AW615+AX615</f>
        <v>0</v>
      </c>
      <c r="AW615" s="29">
        <f>F615*AO615</f>
        <v>0</v>
      </c>
      <c r="AX615" s="29">
        <f>F615*AP615</f>
        <v>0</v>
      </c>
      <c r="AY615" s="31" t="s">
        <v>1009</v>
      </c>
      <c r="AZ615" s="31" t="s">
        <v>689</v>
      </c>
      <c r="BA615" s="11" t="s">
        <v>439</v>
      </c>
      <c r="BC615" s="29">
        <f>AW615+AX615</f>
        <v>0</v>
      </c>
      <c r="BD615" s="29">
        <f>G615/(100-BE615)*100</f>
        <v>0</v>
      </c>
      <c r="BE615" s="29">
        <v>0</v>
      </c>
      <c r="BF615" s="29">
        <f>615</f>
        <v>615</v>
      </c>
      <c r="BH615" s="29">
        <f>F615*AO615</f>
        <v>0</v>
      </c>
      <c r="BI615" s="29">
        <f>F615*AP615</f>
        <v>0</v>
      </c>
      <c r="BJ615" s="29">
        <f>F615*G615</f>
        <v>0</v>
      </c>
      <c r="BK615" s="29"/>
      <c r="BL615" s="29">
        <v>95</v>
      </c>
      <c r="BW615" s="29">
        <v>21</v>
      </c>
      <c r="BX615" s="5" t="s">
        <v>1031</v>
      </c>
    </row>
    <row r="616" spans="1:76" ht="14.4" x14ac:dyDescent="0.3">
      <c r="A616" s="32"/>
      <c r="C616" s="33" t="s">
        <v>1032</v>
      </c>
      <c r="D616" s="33" t="s">
        <v>441</v>
      </c>
      <c r="F616" s="34">
        <v>11.2</v>
      </c>
      <c r="K616" s="35"/>
    </row>
    <row r="617" spans="1:76" ht="14.4" x14ac:dyDescent="0.3">
      <c r="A617" s="32"/>
      <c r="C617" s="33" t="s">
        <v>1033</v>
      </c>
      <c r="D617" s="33" t="s">
        <v>51</v>
      </c>
      <c r="F617" s="34">
        <v>87.04</v>
      </c>
      <c r="K617" s="35"/>
    </row>
    <row r="618" spans="1:76" ht="14.4" x14ac:dyDescent="0.3">
      <c r="A618" s="32"/>
      <c r="C618" s="33" t="s">
        <v>231</v>
      </c>
      <c r="D618" s="33" t="s">
        <v>427</v>
      </c>
      <c r="F618" s="34">
        <v>10.08</v>
      </c>
      <c r="K618" s="35"/>
    </row>
    <row r="619" spans="1:76" ht="14.4" x14ac:dyDescent="0.3">
      <c r="A619" s="2" t="s">
        <v>1034</v>
      </c>
      <c r="B619" s="3" t="s">
        <v>1035</v>
      </c>
      <c r="C619" s="87" t="s">
        <v>1036</v>
      </c>
      <c r="D619" s="84"/>
      <c r="E619" s="3" t="s">
        <v>73</v>
      </c>
      <c r="F619" s="29">
        <v>26.95</v>
      </c>
      <c r="G619" s="29">
        <v>0</v>
      </c>
      <c r="H619" s="29">
        <f>F619*AO619</f>
        <v>0</v>
      </c>
      <c r="I619" s="29">
        <f>F619*AP619</f>
        <v>0</v>
      </c>
      <c r="J619" s="29">
        <f>F619*G619</f>
        <v>0</v>
      </c>
      <c r="K619" s="30" t="s">
        <v>60</v>
      </c>
      <c r="Z619" s="29">
        <f>IF(AQ619="5",BJ619,0)</f>
        <v>0</v>
      </c>
      <c r="AB619" s="29">
        <f>IF(AQ619="1",BH619,0)</f>
        <v>0</v>
      </c>
      <c r="AC619" s="29">
        <f>IF(AQ619="1",BI619,0)</f>
        <v>0</v>
      </c>
      <c r="AD619" s="29">
        <f>IF(AQ619="7",BH619,0)</f>
        <v>0</v>
      </c>
      <c r="AE619" s="29">
        <f>IF(AQ619="7",BI619,0)</f>
        <v>0</v>
      </c>
      <c r="AF619" s="29">
        <f>IF(AQ619="2",BH619,0)</f>
        <v>0</v>
      </c>
      <c r="AG619" s="29">
        <f>IF(AQ619="2",BI619,0)</f>
        <v>0</v>
      </c>
      <c r="AH619" s="29">
        <f>IF(AQ619="0",BJ619,0)</f>
        <v>0</v>
      </c>
      <c r="AI619" s="11" t="s">
        <v>433</v>
      </c>
      <c r="AJ619" s="29">
        <f>IF(AN619=0,J619,0)</f>
        <v>0</v>
      </c>
      <c r="AK619" s="29">
        <f>IF(AN619=12,J619,0)</f>
        <v>0</v>
      </c>
      <c r="AL619" s="29">
        <f>IF(AN619=21,J619,0)</f>
        <v>0</v>
      </c>
      <c r="AN619" s="29">
        <v>21</v>
      </c>
      <c r="AO619" s="29">
        <f>G619*0.414077232</f>
        <v>0</v>
      </c>
      <c r="AP619" s="29">
        <f>G619*(1-0.414077232)</f>
        <v>0</v>
      </c>
      <c r="AQ619" s="31" t="s">
        <v>56</v>
      </c>
      <c r="AV619" s="29">
        <f>AW619+AX619</f>
        <v>0</v>
      </c>
      <c r="AW619" s="29">
        <f>F619*AO619</f>
        <v>0</v>
      </c>
      <c r="AX619" s="29">
        <f>F619*AP619</f>
        <v>0</v>
      </c>
      <c r="AY619" s="31" t="s">
        <v>1009</v>
      </c>
      <c r="AZ619" s="31" t="s">
        <v>689</v>
      </c>
      <c r="BA619" s="11" t="s">
        <v>439</v>
      </c>
      <c r="BC619" s="29">
        <f>AW619+AX619</f>
        <v>0</v>
      </c>
      <c r="BD619" s="29">
        <f>G619/(100-BE619)*100</f>
        <v>0</v>
      </c>
      <c r="BE619" s="29">
        <v>0</v>
      </c>
      <c r="BF619" s="29">
        <f>619</f>
        <v>619</v>
      </c>
      <c r="BH619" s="29">
        <f>F619*AO619</f>
        <v>0</v>
      </c>
      <c r="BI619" s="29">
        <f>F619*AP619</f>
        <v>0</v>
      </c>
      <c r="BJ619" s="29">
        <f>F619*G619</f>
        <v>0</v>
      </c>
      <c r="BK619" s="29"/>
      <c r="BL619" s="29">
        <v>95</v>
      </c>
      <c r="BW619" s="29">
        <v>21</v>
      </c>
      <c r="BX619" s="5" t="s">
        <v>1036</v>
      </c>
    </row>
    <row r="620" spans="1:76" ht="14.4" x14ac:dyDescent="0.3">
      <c r="A620" s="32"/>
      <c r="C620" s="33" t="s">
        <v>1037</v>
      </c>
      <c r="D620" s="33" t="s">
        <v>51</v>
      </c>
      <c r="F620" s="34">
        <v>26.95</v>
      </c>
      <c r="K620" s="35"/>
    </row>
    <row r="621" spans="1:76" ht="14.4" x14ac:dyDescent="0.3">
      <c r="A621" s="25" t="s">
        <v>51</v>
      </c>
      <c r="B621" s="26" t="s">
        <v>51</v>
      </c>
      <c r="C621" s="143" t="s">
        <v>1038</v>
      </c>
      <c r="D621" s="144"/>
      <c r="E621" s="27" t="s">
        <v>4</v>
      </c>
      <c r="F621" s="27" t="s">
        <v>4</v>
      </c>
      <c r="G621" s="27" t="s">
        <v>4</v>
      </c>
      <c r="H621" s="1">
        <f>H622+H627+H634+H644+H649+H651+H657+H660+H662+H677+H699+H705</f>
        <v>0</v>
      </c>
      <c r="I621" s="1">
        <f>I622+I627+I634+I644+I649+I651+I657+I660+I662+I677+I699+I705</f>
        <v>0</v>
      </c>
      <c r="J621" s="1">
        <f>J622+J627+J634+J644+J649+J651+J657+J660+J662+J677+J699+J705</f>
        <v>0</v>
      </c>
      <c r="K621" s="28" t="s">
        <v>51</v>
      </c>
    </row>
    <row r="622" spans="1:76" ht="14.4" x14ac:dyDescent="0.3">
      <c r="A622" s="25" t="s">
        <v>51</v>
      </c>
      <c r="B622" s="26" t="s">
        <v>411</v>
      </c>
      <c r="C622" s="143" t="s">
        <v>432</v>
      </c>
      <c r="D622" s="144"/>
      <c r="E622" s="27" t="s">
        <v>4</v>
      </c>
      <c r="F622" s="27" t="s">
        <v>4</v>
      </c>
      <c r="G622" s="27" t="s">
        <v>4</v>
      </c>
      <c r="H622" s="1">
        <f>SUM(H623:H626)</f>
        <v>0</v>
      </c>
      <c r="I622" s="1">
        <f>SUM(I623:I626)</f>
        <v>0</v>
      </c>
      <c r="J622" s="1">
        <f>SUM(J623:J626)</f>
        <v>0</v>
      </c>
      <c r="K622" s="28" t="s">
        <v>51</v>
      </c>
      <c r="AI622" s="11" t="s">
        <v>1039</v>
      </c>
      <c r="AS622" s="1">
        <f>SUM(AJ623:AJ626)</f>
        <v>0</v>
      </c>
      <c r="AT622" s="1">
        <f>SUM(AK623:AK626)</f>
        <v>0</v>
      </c>
      <c r="AU622" s="1">
        <f>SUM(AL623:AL626)</f>
        <v>0</v>
      </c>
    </row>
    <row r="623" spans="1:76" ht="14.4" x14ac:dyDescent="0.3">
      <c r="A623" s="2" t="s">
        <v>1040</v>
      </c>
      <c r="B623" s="3" t="s">
        <v>1041</v>
      </c>
      <c r="C623" s="87" t="s">
        <v>1042</v>
      </c>
      <c r="D623" s="84"/>
      <c r="E623" s="3" t="s">
        <v>59</v>
      </c>
      <c r="F623" s="29">
        <v>0.22500000000000001</v>
      </c>
      <c r="G623" s="29">
        <v>0</v>
      </c>
      <c r="H623" s="29">
        <f>F623*AO623</f>
        <v>0</v>
      </c>
      <c r="I623" s="29">
        <f>F623*AP623</f>
        <v>0</v>
      </c>
      <c r="J623" s="29">
        <f>F623*G623</f>
        <v>0</v>
      </c>
      <c r="K623" s="30" t="s">
        <v>60</v>
      </c>
      <c r="Z623" s="29">
        <f>IF(AQ623="5",BJ623,0)</f>
        <v>0</v>
      </c>
      <c r="AB623" s="29">
        <f>IF(AQ623="1",BH623,0)</f>
        <v>0</v>
      </c>
      <c r="AC623" s="29">
        <f>IF(AQ623="1",BI623,0)</f>
        <v>0</v>
      </c>
      <c r="AD623" s="29">
        <f>IF(AQ623="7",BH623,0)</f>
        <v>0</v>
      </c>
      <c r="AE623" s="29">
        <f>IF(AQ623="7",BI623,0)</f>
        <v>0</v>
      </c>
      <c r="AF623" s="29">
        <f>IF(AQ623="2",BH623,0)</f>
        <v>0</v>
      </c>
      <c r="AG623" s="29">
        <f>IF(AQ623="2",BI623,0)</f>
        <v>0</v>
      </c>
      <c r="AH623" s="29">
        <f>IF(AQ623="0",BJ623,0)</f>
        <v>0</v>
      </c>
      <c r="AI623" s="11" t="s">
        <v>1039</v>
      </c>
      <c r="AJ623" s="29">
        <f>IF(AN623=0,J623,0)</f>
        <v>0</v>
      </c>
      <c r="AK623" s="29">
        <f>IF(AN623=12,J623,0)</f>
        <v>0</v>
      </c>
      <c r="AL623" s="29">
        <f>IF(AN623=21,J623,0)</f>
        <v>0</v>
      </c>
      <c r="AN623" s="29">
        <v>21</v>
      </c>
      <c r="AO623" s="29">
        <f>G623*0.510010713</f>
        <v>0</v>
      </c>
      <c r="AP623" s="29">
        <f>G623*(1-0.510010713)</f>
        <v>0</v>
      </c>
      <c r="AQ623" s="31" t="s">
        <v>56</v>
      </c>
      <c r="AV623" s="29">
        <f>AW623+AX623</f>
        <v>0</v>
      </c>
      <c r="AW623" s="29">
        <f>F623*AO623</f>
        <v>0</v>
      </c>
      <c r="AX623" s="29">
        <f>F623*AP623</f>
        <v>0</v>
      </c>
      <c r="AY623" s="31" t="s">
        <v>437</v>
      </c>
      <c r="AZ623" s="31" t="s">
        <v>1043</v>
      </c>
      <c r="BA623" s="11" t="s">
        <v>1044</v>
      </c>
      <c r="BC623" s="29">
        <f>AW623+AX623</f>
        <v>0</v>
      </c>
      <c r="BD623" s="29">
        <f>G623/(100-BE623)*100</f>
        <v>0</v>
      </c>
      <c r="BE623" s="29">
        <v>0</v>
      </c>
      <c r="BF623" s="29">
        <f>623</f>
        <v>623</v>
      </c>
      <c r="BH623" s="29">
        <f>F623*AO623</f>
        <v>0</v>
      </c>
      <c r="BI623" s="29">
        <f>F623*AP623</f>
        <v>0</v>
      </c>
      <c r="BJ623" s="29">
        <f>F623*G623</f>
        <v>0</v>
      </c>
      <c r="BK623" s="29"/>
      <c r="BL623" s="29">
        <v>61</v>
      </c>
      <c r="BW623" s="29">
        <v>21</v>
      </c>
      <c r="BX623" s="5" t="s">
        <v>1042</v>
      </c>
    </row>
    <row r="624" spans="1:76" ht="14.4" x14ac:dyDescent="0.3">
      <c r="A624" s="32"/>
      <c r="C624" s="33" t="s">
        <v>1045</v>
      </c>
      <c r="D624" s="33" t="s">
        <v>1046</v>
      </c>
      <c r="F624" s="34">
        <v>0.22500000000000001</v>
      </c>
      <c r="K624" s="35"/>
    </row>
    <row r="625" spans="1:76" ht="14.4" x14ac:dyDescent="0.3">
      <c r="A625" s="2" t="s">
        <v>1047</v>
      </c>
      <c r="B625" s="3" t="s">
        <v>1048</v>
      </c>
      <c r="C625" s="87" t="s">
        <v>1049</v>
      </c>
      <c r="D625" s="84"/>
      <c r="E625" s="3" t="s">
        <v>73</v>
      </c>
      <c r="F625" s="29">
        <v>130</v>
      </c>
      <c r="G625" s="29">
        <v>0</v>
      </c>
      <c r="H625" s="29">
        <f>F625*AO625</f>
        <v>0</v>
      </c>
      <c r="I625" s="29">
        <f>F625*AP625</f>
        <v>0</v>
      </c>
      <c r="J625" s="29">
        <f>F625*G625</f>
        <v>0</v>
      </c>
      <c r="K625" s="30" t="s">
        <v>60</v>
      </c>
      <c r="Z625" s="29">
        <f>IF(AQ625="5",BJ625,0)</f>
        <v>0</v>
      </c>
      <c r="AB625" s="29">
        <f>IF(AQ625="1",BH625,0)</f>
        <v>0</v>
      </c>
      <c r="AC625" s="29">
        <f>IF(AQ625="1",BI625,0)</f>
        <v>0</v>
      </c>
      <c r="AD625" s="29">
        <f>IF(AQ625="7",BH625,0)</f>
        <v>0</v>
      </c>
      <c r="AE625" s="29">
        <f>IF(AQ625="7",BI625,0)</f>
        <v>0</v>
      </c>
      <c r="AF625" s="29">
        <f>IF(AQ625="2",BH625,0)</f>
        <v>0</v>
      </c>
      <c r="AG625" s="29">
        <f>IF(AQ625="2",BI625,0)</f>
        <v>0</v>
      </c>
      <c r="AH625" s="29">
        <f>IF(AQ625="0",BJ625,0)</f>
        <v>0</v>
      </c>
      <c r="AI625" s="11" t="s">
        <v>1039</v>
      </c>
      <c r="AJ625" s="29">
        <f>IF(AN625=0,J625,0)</f>
        <v>0</v>
      </c>
      <c r="AK625" s="29">
        <f>IF(AN625=12,J625,0)</f>
        <v>0</v>
      </c>
      <c r="AL625" s="29">
        <f>IF(AN625=21,J625,0)</f>
        <v>0</v>
      </c>
      <c r="AN625" s="29">
        <v>21</v>
      </c>
      <c r="AO625" s="29">
        <f>G625*0.121092204</f>
        <v>0</v>
      </c>
      <c r="AP625" s="29">
        <f>G625*(1-0.121092204)</f>
        <v>0</v>
      </c>
      <c r="AQ625" s="31" t="s">
        <v>56</v>
      </c>
      <c r="AV625" s="29">
        <f>AW625+AX625</f>
        <v>0</v>
      </c>
      <c r="AW625" s="29">
        <f>F625*AO625</f>
        <v>0</v>
      </c>
      <c r="AX625" s="29">
        <f>F625*AP625</f>
        <v>0</v>
      </c>
      <c r="AY625" s="31" t="s">
        <v>437</v>
      </c>
      <c r="AZ625" s="31" t="s">
        <v>1043</v>
      </c>
      <c r="BA625" s="11" t="s">
        <v>1044</v>
      </c>
      <c r="BC625" s="29">
        <f>AW625+AX625</f>
        <v>0</v>
      </c>
      <c r="BD625" s="29">
        <f>G625/(100-BE625)*100</f>
        <v>0</v>
      </c>
      <c r="BE625" s="29">
        <v>0</v>
      </c>
      <c r="BF625" s="29">
        <f>625</f>
        <v>625</v>
      </c>
      <c r="BH625" s="29">
        <f>F625*AO625</f>
        <v>0</v>
      </c>
      <c r="BI625" s="29">
        <f>F625*AP625</f>
        <v>0</v>
      </c>
      <c r="BJ625" s="29">
        <f>F625*G625</f>
        <v>0</v>
      </c>
      <c r="BK625" s="29"/>
      <c r="BL625" s="29">
        <v>61</v>
      </c>
      <c r="BW625" s="29">
        <v>21</v>
      </c>
      <c r="BX625" s="5" t="s">
        <v>1049</v>
      </c>
    </row>
    <row r="626" spans="1:76" ht="14.4" x14ac:dyDescent="0.3">
      <c r="A626" s="2" t="s">
        <v>893</v>
      </c>
      <c r="B626" s="3" t="s">
        <v>1050</v>
      </c>
      <c r="C626" s="87" t="s">
        <v>1051</v>
      </c>
      <c r="D626" s="84"/>
      <c r="E626" s="3" t="s">
        <v>1022</v>
      </c>
      <c r="F626" s="29">
        <v>1</v>
      </c>
      <c r="G626" s="29">
        <v>0</v>
      </c>
      <c r="H626" s="29">
        <f>F626*AO626</f>
        <v>0</v>
      </c>
      <c r="I626" s="29">
        <f>F626*AP626</f>
        <v>0</v>
      </c>
      <c r="J626" s="29">
        <f>F626*G626</f>
        <v>0</v>
      </c>
      <c r="K626" s="30" t="s">
        <v>60</v>
      </c>
      <c r="Z626" s="29">
        <f>IF(AQ626="5",BJ626,0)</f>
        <v>0</v>
      </c>
      <c r="AB626" s="29">
        <f>IF(AQ626="1",BH626,0)</f>
        <v>0</v>
      </c>
      <c r="AC626" s="29">
        <f>IF(AQ626="1",BI626,0)</f>
        <v>0</v>
      </c>
      <c r="AD626" s="29">
        <f>IF(AQ626="7",BH626,0)</f>
        <v>0</v>
      </c>
      <c r="AE626" s="29">
        <f>IF(AQ626="7",BI626,0)</f>
        <v>0</v>
      </c>
      <c r="AF626" s="29">
        <f>IF(AQ626="2",BH626,0)</f>
        <v>0</v>
      </c>
      <c r="AG626" s="29">
        <f>IF(AQ626="2",BI626,0)</f>
        <v>0</v>
      </c>
      <c r="AH626" s="29">
        <f>IF(AQ626="0",BJ626,0)</f>
        <v>0</v>
      </c>
      <c r="AI626" s="11" t="s">
        <v>1039</v>
      </c>
      <c r="AJ626" s="29">
        <f>IF(AN626=0,J626,0)</f>
        <v>0</v>
      </c>
      <c r="AK626" s="29">
        <f>IF(AN626=12,J626,0)</f>
        <v>0</v>
      </c>
      <c r="AL626" s="29">
        <f>IF(AN626=21,J626,0)</f>
        <v>0</v>
      </c>
      <c r="AN626" s="29">
        <v>21</v>
      </c>
      <c r="AO626" s="29">
        <f>G626*1</f>
        <v>0</v>
      </c>
      <c r="AP626" s="29">
        <f>G626*(1-1)</f>
        <v>0</v>
      </c>
      <c r="AQ626" s="31" t="s">
        <v>56</v>
      </c>
      <c r="AV626" s="29">
        <f>AW626+AX626</f>
        <v>0</v>
      </c>
      <c r="AW626" s="29">
        <f>F626*AO626</f>
        <v>0</v>
      </c>
      <c r="AX626" s="29">
        <f>F626*AP626</f>
        <v>0</v>
      </c>
      <c r="AY626" s="31" t="s">
        <v>437</v>
      </c>
      <c r="AZ626" s="31" t="s">
        <v>1043</v>
      </c>
      <c r="BA626" s="11" t="s">
        <v>1044</v>
      </c>
      <c r="BC626" s="29">
        <f>AW626+AX626</f>
        <v>0</v>
      </c>
      <c r="BD626" s="29">
        <f>G626/(100-BE626)*100</f>
        <v>0</v>
      </c>
      <c r="BE626" s="29">
        <v>0</v>
      </c>
      <c r="BF626" s="29">
        <f>626</f>
        <v>626</v>
      </c>
      <c r="BH626" s="29">
        <f>F626*AO626</f>
        <v>0</v>
      </c>
      <c r="BI626" s="29">
        <f>F626*AP626</f>
        <v>0</v>
      </c>
      <c r="BJ626" s="29">
        <f>F626*G626</f>
        <v>0</v>
      </c>
      <c r="BK626" s="29"/>
      <c r="BL626" s="29">
        <v>61</v>
      </c>
      <c r="BW626" s="29">
        <v>21</v>
      </c>
      <c r="BX626" s="5" t="s">
        <v>1051</v>
      </c>
    </row>
    <row r="627" spans="1:76" ht="14.4" x14ac:dyDescent="0.3">
      <c r="A627" s="25" t="s">
        <v>51</v>
      </c>
      <c r="B627" s="26" t="s">
        <v>53</v>
      </c>
      <c r="C627" s="143" t="s">
        <v>54</v>
      </c>
      <c r="D627" s="144"/>
      <c r="E627" s="27" t="s">
        <v>4</v>
      </c>
      <c r="F627" s="27" t="s">
        <v>4</v>
      </c>
      <c r="G627" s="27" t="s">
        <v>4</v>
      </c>
      <c r="H627" s="1">
        <f>SUM(H628:H632)</f>
        <v>0</v>
      </c>
      <c r="I627" s="1">
        <f>SUM(I628:I632)</f>
        <v>0</v>
      </c>
      <c r="J627" s="1">
        <f>SUM(J628:J632)</f>
        <v>0</v>
      </c>
      <c r="K627" s="28" t="s">
        <v>51</v>
      </c>
      <c r="AI627" s="11" t="s">
        <v>1039</v>
      </c>
      <c r="AS627" s="1">
        <f>SUM(AJ628:AJ632)</f>
        <v>0</v>
      </c>
      <c r="AT627" s="1">
        <f>SUM(AK628:AK632)</f>
        <v>0</v>
      </c>
      <c r="AU627" s="1">
        <f>SUM(AL628:AL632)</f>
        <v>0</v>
      </c>
    </row>
    <row r="628" spans="1:76" ht="14.4" x14ac:dyDescent="0.3">
      <c r="A628" s="2" t="s">
        <v>1052</v>
      </c>
      <c r="B628" s="3" t="s">
        <v>1053</v>
      </c>
      <c r="C628" s="87" t="s">
        <v>1054</v>
      </c>
      <c r="D628" s="84"/>
      <c r="E628" s="3" t="s">
        <v>73</v>
      </c>
      <c r="F628" s="29">
        <v>130</v>
      </c>
      <c r="G628" s="29">
        <v>0</v>
      </c>
      <c r="H628" s="29">
        <f>F628*AO628</f>
        <v>0</v>
      </c>
      <c r="I628" s="29">
        <f>F628*AP628</f>
        <v>0</v>
      </c>
      <c r="J628" s="29">
        <f>F628*G628</f>
        <v>0</v>
      </c>
      <c r="K628" s="30" t="s">
        <v>60</v>
      </c>
      <c r="Z628" s="29">
        <f>IF(AQ628="5",BJ628,0)</f>
        <v>0</v>
      </c>
      <c r="AB628" s="29">
        <f>IF(AQ628="1",BH628,0)</f>
        <v>0</v>
      </c>
      <c r="AC628" s="29">
        <f>IF(AQ628="1",BI628,0)</f>
        <v>0</v>
      </c>
      <c r="AD628" s="29">
        <f>IF(AQ628="7",BH628,0)</f>
        <v>0</v>
      </c>
      <c r="AE628" s="29">
        <f>IF(AQ628="7",BI628,0)</f>
        <v>0</v>
      </c>
      <c r="AF628" s="29">
        <f>IF(AQ628="2",BH628,0)</f>
        <v>0</v>
      </c>
      <c r="AG628" s="29">
        <f>IF(AQ628="2",BI628,0)</f>
        <v>0</v>
      </c>
      <c r="AH628" s="29">
        <f>IF(AQ628="0",BJ628,0)</f>
        <v>0</v>
      </c>
      <c r="AI628" s="11" t="s">
        <v>1039</v>
      </c>
      <c r="AJ628" s="29">
        <f>IF(AN628=0,J628,0)</f>
        <v>0</v>
      </c>
      <c r="AK628" s="29">
        <f>IF(AN628=12,J628,0)</f>
        <v>0</v>
      </c>
      <c r="AL628" s="29">
        <f>IF(AN628=21,J628,0)</f>
        <v>0</v>
      </c>
      <c r="AN628" s="29">
        <v>21</v>
      </c>
      <c r="AO628" s="29">
        <f>G628*0.195290424</f>
        <v>0</v>
      </c>
      <c r="AP628" s="29">
        <f>G628*(1-0.195290424)</f>
        <v>0</v>
      </c>
      <c r="AQ628" s="31" t="s">
        <v>56</v>
      </c>
      <c r="AV628" s="29">
        <f>AW628+AX628</f>
        <v>0</v>
      </c>
      <c r="AW628" s="29">
        <f>F628*AO628</f>
        <v>0</v>
      </c>
      <c r="AX628" s="29">
        <f>F628*AP628</f>
        <v>0</v>
      </c>
      <c r="AY628" s="31" t="s">
        <v>61</v>
      </c>
      <c r="AZ628" s="31" t="s">
        <v>1055</v>
      </c>
      <c r="BA628" s="11" t="s">
        <v>1044</v>
      </c>
      <c r="BC628" s="29">
        <f>AW628+AX628</f>
        <v>0</v>
      </c>
      <c r="BD628" s="29">
        <f>G628/(100-BE628)*100</f>
        <v>0</v>
      </c>
      <c r="BE628" s="29">
        <v>0</v>
      </c>
      <c r="BF628" s="29">
        <f>628</f>
        <v>628</v>
      </c>
      <c r="BH628" s="29">
        <f>F628*AO628</f>
        <v>0</v>
      </c>
      <c r="BI628" s="29">
        <f>F628*AP628</f>
        <v>0</v>
      </c>
      <c r="BJ628" s="29">
        <f>F628*G628</f>
        <v>0</v>
      </c>
      <c r="BK628" s="29"/>
      <c r="BL628" s="29">
        <v>97</v>
      </c>
      <c r="BW628" s="29">
        <v>21</v>
      </c>
      <c r="BX628" s="5" t="s">
        <v>1054</v>
      </c>
    </row>
    <row r="629" spans="1:76" ht="14.4" x14ac:dyDescent="0.3">
      <c r="A629" s="2" t="s">
        <v>1056</v>
      </c>
      <c r="B629" s="3" t="s">
        <v>1057</v>
      </c>
      <c r="C629" s="87" t="s">
        <v>1058</v>
      </c>
      <c r="D629" s="84"/>
      <c r="E629" s="3" t="s">
        <v>73</v>
      </c>
      <c r="F629" s="29">
        <v>2.5</v>
      </c>
      <c r="G629" s="29">
        <v>0</v>
      </c>
      <c r="H629" s="29">
        <f>F629*AO629</f>
        <v>0</v>
      </c>
      <c r="I629" s="29">
        <f>F629*AP629</f>
        <v>0</v>
      </c>
      <c r="J629" s="29">
        <f>F629*G629</f>
        <v>0</v>
      </c>
      <c r="K629" s="30" t="s">
        <v>60</v>
      </c>
      <c r="Z629" s="29">
        <f>IF(AQ629="5",BJ629,0)</f>
        <v>0</v>
      </c>
      <c r="AB629" s="29">
        <f>IF(AQ629="1",BH629,0)</f>
        <v>0</v>
      </c>
      <c r="AC629" s="29">
        <f>IF(AQ629="1",BI629,0)</f>
        <v>0</v>
      </c>
      <c r="AD629" s="29">
        <f>IF(AQ629="7",BH629,0)</f>
        <v>0</v>
      </c>
      <c r="AE629" s="29">
        <f>IF(AQ629="7",BI629,0)</f>
        <v>0</v>
      </c>
      <c r="AF629" s="29">
        <f>IF(AQ629="2",BH629,0)</f>
        <v>0</v>
      </c>
      <c r="AG629" s="29">
        <f>IF(AQ629="2",BI629,0)</f>
        <v>0</v>
      </c>
      <c r="AH629" s="29">
        <f>IF(AQ629="0",BJ629,0)</f>
        <v>0</v>
      </c>
      <c r="AI629" s="11" t="s">
        <v>1039</v>
      </c>
      <c r="AJ629" s="29">
        <f>IF(AN629=0,J629,0)</f>
        <v>0</v>
      </c>
      <c r="AK629" s="29">
        <f>IF(AN629=12,J629,0)</f>
        <v>0</v>
      </c>
      <c r="AL629" s="29">
        <f>IF(AN629=21,J629,0)</f>
        <v>0</v>
      </c>
      <c r="AN629" s="29">
        <v>21</v>
      </c>
      <c r="AO629" s="29">
        <f>G629*0.069832402</f>
        <v>0</v>
      </c>
      <c r="AP629" s="29">
        <f>G629*(1-0.069832402)</f>
        <v>0</v>
      </c>
      <c r="AQ629" s="31" t="s">
        <v>56</v>
      </c>
      <c r="AV629" s="29">
        <f>AW629+AX629</f>
        <v>0</v>
      </c>
      <c r="AW629" s="29">
        <f>F629*AO629</f>
        <v>0</v>
      </c>
      <c r="AX629" s="29">
        <f>F629*AP629</f>
        <v>0</v>
      </c>
      <c r="AY629" s="31" t="s">
        <v>61</v>
      </c>
      <c r="AZ629" s="31" t="s">
        <v>1055</v>
      </c>
      <c r="BA629" s="11" t="s">
        <v>1044</v>
      </c>
      <c r="BC629" s="29">
        <f>AW629+AX629</f>
        <v>0</v>
      </c>
      <c r="BD629" s="29">
        <f>G629/(100-BE629)*100</f>
        <v>0</v>
      </c>
      <c r="BE629" s="29">
        <v>0</v>
      </c>
      <c r="BF629" s="29">
        <f>629</f>
        <v>629</v>
      </c>
      <c r="BH629" s="29">
        <f>F629*AO629</f>
        <v>0</v>
      </c>
      <c r="BI629" s="29">
        <f>F629*AP629</f>
        <v>0</v>
      </c>
      <c r="BJ629" s="29">
        <f>F629*G629</f>
        <v>0</v>
      </c>
      <c r="BK629" s="29"/>
      <c r="BL629" s="29">
        <v>97</v>
      </c>
      <c r="BW629" s="29">
        <v>21</v>
      </c>
      <c r="BX629" s="5" t="s">
        <v>1058</v>
      </c>
    </row>
    <row r="630" spans="1:76" ht="14.4" x14ac:dyDescent="0.3">
      <c r="A630" s="2" t="s">
        <v>1059</v>
      </c>
      <c r="B630" s="3" t="s">
        <v>1060</v>
      </c>
      <c r="C630" s="87" t="s">
        <v>1061</v>
      </c>
      <c r="D630" s="84"/>
      <c r="E630" s="3" t="s">
        <v>103</v>
      </c>
      <c r="F630" s="29">
        <v>11</v>
      </c>
      <c r="G630" s="29">
        <v>0</v>
      </c>
      <c r="H630" s="29">
        <f>F630*AO630</f>
        <v>0</v>
      </c>
      <c r="I630" s="29">
        <f>F630*AP630</f>
        <v>0</v>
      </c>
      <c r="J630" s="29">
        <f>F630*G630</f>
        <v>0</v>
      </c>
      <c r="K630" s="30" t="s">
        <v>60</v>
      </c>
      <c r="Z630" s="29">
        <f>IF(AQ630="5",BJ630,0)</f>
        <v>0</v>
      </c>
      <c r="AB630" s="29">
        <f>IF(AQ630="1",BH630,0)</f>
        <v>0</v>
      </c>
      <c r="AC630" s="29">
        <f>IF(AQ630="1",BI630,0)</f>
        <v>0</v>
      </c>
      <c r="AD630" s="29">
        <f>IF(AQ630="7",BH630,0)</f>
        <v>0</v>
      </c>
      <c r="AE630" s="29">
        <f>IF(AQ630="7",BI630,0)</f>
        <v>0</v>
      </c>
      <c r="AF630" s="29">
        <f>IF(AQ630="2",BH630,0)</f>
        <v>0</v>
      </c>
      <c r="AG630" s="29">
        <f>IF(AQ630="2",BI630,0)</f>
        <v>0</v>
      </c>
      <c r="AH630" s="29">
        <f>IF(AQ630="0",BJ630,0)</f>
        <v>0</v>
      </c>
      <c r="AI630" s="11" t="s">
        <v>1039</v>
      </c>
      <c r="AJ630" s="29">
        <f>IF(AN630=0,J630,0)</f>
        <v>0</v>
      </c>
      <c r="AK630" s="29">
        <f>IF(AN630=12,J630,0)</f>
        <v>0</v>
      </c>
      <c r="AL630" s="29">
        <f>IF(AN630=21,J630,0)</f>
        <v>0</v>
      </c>
      <c r="AN630" s="29">
        <v>21</v>
      </c>
      <c r="AO630" s="29">
        <f>G630*0</f>
        <v>0</v>
      </c>
      <c r="AP630" s="29">
        <f>G630*(1-0)</f>
        <v>0</v>
      </c>
      <c r="AQ630" s="31" t="s">
        <v>56</v>
      </c>
      <c r="AV630" s="29">
        <f>AW630+AX630</f>
        <v>0</v>
      </c>
      <c r="AW630" s="29">
        <f>F630*AO630</f>
        <v>0</v>
      </c>
      <c r="AX630" s="29">
        <f>F630*AP630</f>
        <v>0</v>
      </c>
      <c r="AY630" s="31" t="s">
        <v>61</v>
      </c>
      <c r="AZ630" s="31" t="s">
        <v>1055</v>
      </c>
      <c r="BA630" s="11" t="s">
        <v>1044</v>
      </c>
      <c r="BC630" s="29">
        <f>AW630+AX630</f>
        <v>0</v>
      </c>
      <c r="BD630" s="29">
        <f>G630/(100-BE630)*100</f>
        <v>0</v>
      </c>
      <c r="BE630" s="29">
        <v>0</v>
      </c>
      <c r="BF630" s="29">
        <f>630</f>
        <v>630</v>
      </c>
      <c r="BH630" s="29">
        <f>F630*AO630</f>
        <v>0</v>
      </c>
      <c r="BI630" s="29">
        <f>F630*AP630</f>
        <v>0</v>
      </c>
      <c r="BJ630" s="29">
        <f>F630*G630</f>
        <v>0</v>
      </c>
      <c r="BK630" s="29"/>
      <c r="BL630" s="29">
        <v>97</v>
      </c>
      <c r="BW630" s="29">
        <v>21</v>
      </c>
      <c r="BX630" s="5" t="s">
        <v>1061</v>
      </c>
    </row>
    <row r="631" spans="1:76" ht="14.4" x14ac:dyDescent="0.3">
      <c r="A631" s="32"/>
      <c r="C631" s="33" t="s">
        <v>1062</v>
      </c>
      <c r="D631" s="33" t="s">
        <v>51</v>
      </c>
      <c r="F631" s="34">
        <v>11</v>
      </c>
      <c r="K631" s="35"/>
    </row>
    <row r="632" spans="1:76" ht="14.4" x14ac:dyDescent="0.3">
      <c r="A632" s="2" t="s">
        <v>1063</v>
      </c>
      <c r="B632" s="3" t="s">
        <v>1064</v>
      </c>
      <c r="C632" s="87" t="s">
        <v>1065</v>
      </c>
      <c r="D632" s="84"/>
      <c r="E632" s="3" t="s">
        <v>269</v>
      </c>
      <c r="F632" s="29">
        <v>0.15</v>
      </c>
      <c r="G632" s="29">
        <v>0</v>
      </c>
      <c r="H632" s="29">
        <f>F632*AO632</f>
        <v>0</v>
      </c>
      <c r="I632" s="29">
        <f>F632*AP632</f>
        <v>0</v>
      </c>
      <c r="J632" s="29">
        <f>F632*G632</f>
        <v>0</v>
      </c>
      <c r="K632" s="30" t="s">
        <v>60</v>
      </c>
      <c r="Z632" s="29">
        <f>IF(AQ632="5",BJ632,0)</f>
        <v>0</v>
      </c>
      <c r="AB632" s="29">
        <f>IF(AQ632="1",BH632,0)</f>
        <v>0</v>
      </c>
      <c r="AC632" s="29">
        <f>IF(AQ632="1",BI632,0)</f>
        <v>0</v>
      </c>
      <c r="AD632" s="29">
        <f>IF(AQ632="7",BH632,0)</f>
        <v>0</v>
      </c>
      <c r="AE632" s="29">
        <f>IF(AQ632="7",BI632,0)</f>
        <v>0</v>
      </c>
      <c r="AF632" s="29">
        <f>IF(AQ632="2",BH632,0)</f>
        <v>0</v>
      </c>
      <c r="AG632" s="29">
        <f>IF(AQ632="2",BI632,0)</f>
        <v>0</v>
      </c>
      <c r="AH632" s="29">
        <f>IF(AQ632="0",BJ632,0)</f>
        <v>0</v>
      </c>
      <c r="AI632" s="11" t="s">
        <v>1039</v>
      </c>
      <c r="AJ632" s="29">
        <f>IF(AN632=0,J632,0)</f>
        <v>0</v>
      </c>
      <c r="AK632" s="29">
        <f>IF(AN632=12,J632,0)</f>
        <v>0</v>
      </c>
      <c r="AL632" s="29">
        <f>IF(AN632=21,J632,0)</f>
        <v>0</v>
      </c>
      <c r="AN632" s="29">
        <v>21</v>
      </c>
      <c r="AO632" s="29">
        <f>G632*0</f>
        <v>0</v>
      </c>
      <c r="AP632" s="29">
        <f>G632*(1-0)</f>
        <v>0</v>
      </c>
      <c r="AQ632" s="31" t="s">
        <v>56</v>
      </c>
      <c r="AV632" s="29">
        <f>AW632+AX632</f>
        <v>0</v>
      </c>
      <c r="AW632" s="29">
        <f>F632*AO632</f>
        <v>0</v>
      </c>
      <c r="AX632" s="29">
        <f>F632*AP632</f>
        <v>0</v>
      </c>
      <c r="AY632" s="31" t="s">
        <v>61</v>
      </c>
      <c r="AZ632" s="31" t="s">
        <v>1055</v>
      </c>
      <c r="BA632" s="11" t="s">
        <v>1044</v>
      </c>
      <c r="BC632" s="29">
        <f>AW632+AX632</f>
        <v>0</v>
      </c>
      <c r="BD632" s="29">
        <f>G632/(100-BE632)*100</f>
        <v>0</v>
      </c>
      <c r="BE632" s="29">
        <v>0</v>
      </c>
      <c r="BF632" s="29">
        <f>632</f>
        <v>632</v>
      </c>
      <c r="BH632" s="29">
        <f>F632*AO632</f>
        <v>0</v>
      </c>
      <c r="BI632" s="29">
        <f>F632*AP632</f>
        <v>0</v>
      </c>
      <c r="BJ632" s="29">
        <f>F632*G632</f>
        <v>0</v>
      </c>
      <c r="BK632" s="29"/>
      <c r="BL632" s="29">
        <v>97</v>
      </c>
      <c r="BW632" s="29">
        <v>21</v>
      </c>
      <c r="BX632" s="5" t="s">
        <v>1065</v>
      </c>
    </row>
    <row r="633" spans="1:76" ht="14.4" x14ac:dyDescent="0.3">
      <c r="A633" s="32"/>
      <c r="C633" s="33" t="s">
        <v>1066</v>
      </c>
      <c r="D633" s="33" t="s">
        <v>51</v>
      </c>
      <c r="F633" s="34">
        <v>0.15</v>
      </c>
      <c r="K633" s="35"/>
    </row>
    <row r="634" spans="1:76" ht="14.4" x14ac:dyDescent="0.3">
      <c r="A634" s="25" t="s">
        <v>51</v>
      </c>
      <c r="B634" s="26" t="s">
        <v>1067</v>
      </c>
      <c r="C634" s="143" t="s">
        <v>1068</v>
      </c>
      <c r="D634" s="144"/>
      <c r="E634" s="27" t="s">
        <v>4</v>
      </c>
      <c r="F634" s="27" t="s">
        <v>4</v>
      </c>
      <c r="G634" s="27" t="s">
        <v>4</v>
      </c>
      <c r="H634" s="1">
        <f>SUM(H635:H643)</f>
        <v>0</v>
      </c>
      <c r="I634" s="1">
        <f>SUM(I635:I643)</f>
        <v>0</v>
      </c>
      <c r="J634" s="1">
        <f>SUM(J635:J643)</f>
        <v>0</v>
      </c>
      <c r="K634" s="28" t="s">
        <v>51</v>
      </c>
      <c r="AI634" s="11" t="s">
        <v>1039</v>
      </c>
      <c r="AS634" s="1">
        <f>SUM(AJ635:AJ643)</f>
        <v>0</v>
      </c>
      <c r="AT634" s="1">
        <f>SUM(AK635:AK643)</f>
        <v>0</v>
      </c>
      <c r="AU634" s="1">
        <f>SUM(AL635:AL643)</f>
        <v>0</v>
      </c>
    </row>
    <row r="635" spans="1:76" ht="14.4" x14ac:dyDescent="0.3">
      <c r="A635" s="2" t="s">
        <v>1069</v>
      </c>
      <c r="B635" s="3" t="s">
        <v>1070</v>
      </c>
      <c r="C635" s="87" t="s">
        <v>1071</v>
      </c>
      <c r="D635" s="84"/>
      <c r="E635" s="3" t="s">
        <v>103</v>
      </c>
      <c r="F635" s="29">
        <v>1</v>
      </c>
      <c r="G635" s="29">
        <v>0</v>
      </c>
      <c r="H635" s="29">
        <f t="shared" ref="H635:H643" si="0">F635*AO635</f>
        <v>0</v>
      </c>
      <c r="I635" s="29">
        <f t="shared" ref="I635:I643" si="1">F635*AP635</f>
        <v>0</v>
      </c>
      <c r="J635" s="29">
        <f t="shared" ref="J635:J643" si="2">F635*G635</f>
        <v>0</v>
      </c>
      <c r="K635" s="30" t="s">
        <v>351</v>
      </c>
      <c r="Z635" s="29">
        <f t="shared" ref="Z635:Z643" si="3">IF(AQ635="5",BJ635,0)</f>
        <v>0</v>
      </c>
      <c r="AB635" s="29">
        <f t="shared" ref="AB635:AB643" si="4">IF(AQ635="1",BH635,0)</f>
        <v>0</v>
      </c>
      <c r="AC635" s="29">
        <f t="shared" ref="AC635:AC643" si="5">IF(AQ635="1",BI635,0)</f>
        <v>0</v>
      </c>
      <c r="AD635" s="29">
        <f t="shared" ref="AD635:AD643" si="6">IF(AQ635="7",BH635,0)</f>
        <v>0</v>
      </c>
      <c r="AE635" s="29">
        <f t="shared" ref="AE635:AE643" si="7">IF(AQ635="7",BI635,0)</f>
        <v>0</v>
      </c>
      <c r="AF635" s="29">
        <f t="shared" ref="AF635:AF643" si="8">IF(AQ635="2",BH635,0)</f>
        <v>0</v>
      </c>
      <c r="AG635" s="29">
        <f t="shared" ref="AG635:AG643" si="9">IF(AQ635="2",BI635,0)</f>
        <v>0</v>
      </c>
      <c r="AH635" s="29">
        <f t="shared" ref="AH635:AH643" si="10">IF(AQ635="0",BJ635,0)</f>
        <v>0</v>
      </c>
      <c r="AI635" s="11" t="s">
        <v>1039</v>
      </c>
      <c r="AJ635" s="29">
        <f t="shared" ref="AJ635:AJ643" si="11">IF(AN635=0,J635,0)</f>
        <v>0</v>
      </c>
      <c r="AK635" s="29">
        <f t="shared" ref="AK635:AK643" si="12">IF(AN635=12,J635,0)</f>
        <v>0</v>
      </c>
      <c r="AL635" s="29">
        <f t="shared" ref="AL635:AL643" si="13">IF(AN635=21,J635,0)</f>
        <v>0</v>
      </c>
      <c r="AN635" s="29">
        <v>21</v>
      </c>
      <c r="AO635" s="29">
        <f>G635*0.25</f>
        <v>0</v>
      </c>
      <c r="AP635" s="29">
        <f>G635*(1-0.25)</f>
        <v>0</v>
      </c>
      <c r="AQ635" s="31" t="s">
        <v>70</v>
      </c>
      <c r="AV635" s="29">
        <f t="shared" ref="AV635:AV643" si="14">AW635+AX635</f>
        <v>0</v>
      </c>
      <c r="AW635" s="29">
        <f t="shared" ref="AW635:AW643" si="15">F635*AO635</f>
        <v>0</v>
      </c>
      <c r="AX635" s="29">
        <f t="shared" ref="AX635:AX643" si="16">F635*AP635</f>
        <v>0</v>
      </c>
      <c r="AY635" s="31" t="s">
        <v>1072</v>
      </c>
      <c r="AZ635" s="31" t="s">
        <v>1073</v>
      </c>
      <c r="BA635" s="11" t="s">
        <v>1044</v>
      </c>
      <c r="BC635" s="29">
        <f t="shared" ref="BC635:BC643" si="17">AW635+AX635</f>
        <v>0</v>
      </c>
      <c r="BD635" s="29">
        <f t="shared" ref="BD635:BD643" si="18">G635/(100-BE635)*100</f>
        <v>0</v>
      </c>
      <c r="BE635" s="29">
        <v>0</v>
      </c>
      <c r="BF635" s="29">
        <f>635</f>
        <v>635</v>
      </c>
      <c r="BH635" s="29">
        <f t="shared" ref="BH635:BH643" si="19">F635*AO635</f>
        <v>0</v>
      </c>
      <c r="BI635" s="29">
        <f t="shared" ref="BI635:BI643" si="20">F635*AP635</f>
        <v>0</v>
      </c>
      <c r="BJ635" s="29">
        <f t="shared" ref="BJ635:BJ643" si="21">F635*G635</f>
        <v>0</v>
      </c>
      <c r="BK635" s="29"/>
      <c r="BL635" s="29"/>
      <c r="BW635" s="29">
        <v>21</v>
      </c>
      <c r="BX635" s="5" t="s">
        <v>1071</v>
      </c>
    </row>
    <row r="636" spans="1:76" ht="14.4" x14ac:dyDescent="0.3">
      <c r="A636" s="2" t="s">
        <v>1074</v>
      </c>
      <c r="B636" s="3" t="s">
        <v>1075</v>
      </c>
      <c r="C636" s="87" t="s">
        <v>1076</v>
      </c>
      <c r="D636" s="84"/>
      <c r="E636" s="3" t="s">
        <v>73</v>
      </c>
      <c r="F636" s="29">
        <v>10</v>
      </c>
      <c r="G636" s="29">
        <v>0</v>
      </c>
      <c r="H636" s="29">
        <f t="shared" si="0"/>
        <v>0</v>
      </c>
      <c r="I636" s="29">
        <f t="shared" si="1"/>
        <v>0</v>
      </c>
      <c r="J636" s="29">
        <f t="shared" si="2"/>
        <v>0</v>
      </c>
      <c r="K636" s="30" t="s">
        <v>60</v>
      </c>
      <c r="Z636" s="29">
        <f t="shared" si="3"/>
        <v>0</v>
      </c>
      <c r="AB636" s="29">
        <f t="shared" si="4"/>
        <v>0</v>
      </c>
      <c r="AC636" s="29">
        <f t="shared" si="5"/>
        <v>0</v>
      </c>
      <c r="AD636" s="29">
        <f t="shared" si="6"/>
        <v>0</v>
      </c>
      <c r="AE636" s="29">
        <f t="shared" si="7"/>
        <v>0</v>
      </c>
      <c r="AF636" s="29">
        <f t="shared" si="8"/>
        <v>0</v>
      </c>
      <c r="AG636" s="29">
        <f t="shared" si="9"/>
        <v>0</v>
      </c>
      <c r="AH636" s="29">
        <f t="shared" si="10"/>
        <v>0</v>
      </c>
      <c r="AI636" s="11" t="s">
        <v>1039</v>
      </c>
      <c r="AJ636" s="29">
        <f t="shared" si="11"/>
        <v>0</v>
      </c>
      <c r="AK636" s="29">
        <f t="shared" si="12"/>
        <v>0</v>
      </c>
      <c r="AL636" s="29">
        <f t="shared" si="13"/>
        <v>0</v>
      </c>
      <c r="AN636" s="29">
        <v>21</v>
      </c>
      <c r="AO636" s="29">
        <f>G636*0.853386328</f>
        <v>0</v>
      </c>
      <c r="AP636" s="29">
        <f>G636*(1-0.853386328)</f>
        <v>0</v>
      </c>
      <c r="AQ636" s="31" t="s">
        <v>70</v>
      </c>
      <c r="AV636" s="29">
        <f t="shared" si="14"/>
        <v>0</v>
      </c>
      <c r="AW636" s="29">
        <f t="shared" si="15"/>
        <v>0</v>
      </c>
      <c r="AX636" s="29">
        <f t="shared" si="16"/>
        <v>0</v>
      </c>
      <c r="AY636" s="31" t="s">
        <v>1072</v>
      </c>
      <c r="AZ636" s="31" t="s">
        <v>1073</v>
      </c>
      <c r="BA636" s="11" t="s">
        <v>1044</v>
      </c>
      <c r="BC636" s="29">
        <f t="shared" si="17"/>
        <v>0</v>
      </c>
      <c r="BD636" s="29">
        <f t="shared" si="18"/>
        <v>0</v>
      </c>
      <c r="BE636" s="29">
        <v>0</v>
      </c>
      <c r="BF636" s="29">
        <f>636</f>
        <v>636</v>
      </c>
      <c r="BH636" s="29">
        <f t="shared" si="19"/>
        <v>0</v>
      </c>
      <c r="BI636" s="29">
        <f t="shared" si="20"/>
        <v>0</v>
      </c>
      <c r="BJ636" s="29">
        <f t="shared" si="21"/>
        <v>0</v>
      </c>
      <c r="BK636" s="29"/>
      <c r="BL636" s="29"/>
      <c r="BW636" s="29">
        <v>21</v>
      </c>
      <c r="BX636" s="5" t="s">
        <v>1076</v>
      </c>
    </row>
    <row r="637" spans="1:76" ht="14.4" x14ac:dyDescent="0.3">
      <c r="A637" s="2" t="s">
        <v>1077</v>
      </c>
      <c r="B637" s="3" t="s">
        <v>1078</v>
      </c>
      <c r="C637" s="87" t="s">
        <v>1079</v>
      </c>
      <c r="D637" s="84"/>
      <c r="E637" s="3" t="s">
        <v>73</v>
      </c>
      <c r="F637" s="29">
        <v>10</v>
      </c>
      <c r="G637" s="29">
        <v>0</v>
      </c>
      <c r="H637" s="29">
        <f t="shared" si="0"/>
        <v>0</v>
      </c>
      <c r="I637" s="29">
        <f t="shared" si="1"/>
        <v>0</v>
      </c>
      <c r="J637" s="29">
        <f t="shared" si="2"/>
        <v>0</v>
      </c>
      <c r="K637" s="30" t="s">
        <v>60</v>
      </c>
      <c r="Z637" s="29">
        <f t="shared" si="3"/>
        <v>0</v>
      </c>
      <c r="AB637" s="29">
        <f t="shared" si="4"/>
        <v>0</v>
      </c>
      <c r="AC637" s="29">
        <f t="shared" si="5"/>
        <v>0</v>
      </c>
      <c r="AD637" s="29">
        <f t="shared" si="6"/>
        <v>0</v>
      </c>
      <c r="AE637" s="29">
        <f t="shared" si="7"/>
        <v>0</v>
      </c>
      <c r="AF637" s="29">
        <f t="shared" si="8"/>
        <v>0</v>
      </c>
      <c r="AG637" s="29">
        <f t="shared" si="9"/>
        <v>0</v>
      </c>
      <c r="AH637" s="29">
        <f t="shared" si="10"/>
        <v>0</v>
      </c>
      <c r="AI637" s="11" t="s">
        <v>1039</v>
      </c>
      <c r="AJ637" s="29">
        <f t="shared" si="11"/>
        <v>0</v>
      </c>
      <c r="AK637" s="29">
        <f t="shared" si="12"/>
        <v>0</v>
      </c>
      <c r="AL637" s="29">
        <f t="shared" si="13"/>
        <v>0</v>
      </c>
      <c r="AN637" s="29">
        <v>21</v>
      </c>
      <c r="AO637" s="29">
        <f>G637*0</f>
        <v>0</v>
      </c>
      <c r="AP637" s="29">
        <f>G637*(1-0)</f>
        <v>0</v>
      </c>
      <c r="AQ637" s="31" t="s">
        <v>70</v>
      </c>
      <c r="AV637" s="29">
        <f t="shared" si="14"/>
        <v>0</v>
      </c>
      <c r="AW637" s="29">
        <f t="shared" si="15"/>
        <v>0</v>
      </c>
      <c r="AX637" s="29">
        <f t="shared" si="16"/>
        <v>0</v>
      </c>
      <c r="AY637" s="31" t="s">
        <v>1072</v>
      </c>
      <c r="AZ637" s="31" t="s">
        <v>1073</v>
      </c>
      <c r="BA637" s="11" t="s">
        <v>1044</v>
      </c>
      <c r="BC637" s="29">
        <f t="shared" si="17"/>
        <v>0</v>
      </c>
      <c r="BD637" s="29">
        <f t="shared" si="18"/>
        <v>0</v>
      </c>
      <c r="BE637" s="29">
        <v>0</v>
      </c>
      <c r="BF637" s="29">
        <f>637</f>
        <v>637</v>
      </c>
      <c r="BH637" s="29">
        <f t="shared" si="19"/>
        <v>0</v>
      </c>
      <c r="BI637" s="29">
        <f t="shared" si="20"/>
        <v>0</v>
      </c>
      <c r="BJ637" s="29">
        <f t="shared" si="21"/>
        <v>0</v>
      </c>
      <c r="BK637" s="29"/>
      <c r="BL637" s="29"/>
      <c r="BW637" s="29">
        <v>21</v>
      </c>
      <c r="BX637" s="5" t="s">
        <v>1079</v>
      </c>
    </row>
    <row r="638" spans="1:76" ht="14.4" x14ac:dyDescent="0.3">
      <c r="A638" s="2" t="s">
        <v>1080</v>
      </c>
      <c r="B638" s="3" t="s">
        <v>1081</v>
      </c>
      <c r="C638" s="87" t="s">
        <v>1082</v>
      </c>
      <c r="D638" s="84"/>
      <c r="E638" s="3" t="s">
        <v>73</v>
      </c>
      <c r="F638" s="29">
        <v>10</v>
      </c>
      <c r="G638" s="29">
        <v>0</v>
      </c>
      <c r="H638" s="29">
        <f t="shared" si="0"/>
        <v>0</v>
      </c>
      <c r="I638" s="29">
        <f t="shared" si="1"/>
        <v>0</v>
      </c>
      <c r="J638" s="29">
        <f t="shared" si="2"/>
        <v>0</v>
      </c>
      <c r="K638" s="30" t="s">
        <v>60</v>
      </c>
      <c r="Z638" s="29">
        <f t="shared" si="3"/>
        <v>0</v>
      </c>
      <c r="AB638" s="29">
        <f t="shared" si="4"/>
        <v>0</v>
      </c>
      <c r="AC638" s="29">
        <f t="shared" si="5"/>
        <v>0</v>
      </c>
      <c r="AD638" s="29">
        <f t="shared" si="6"/>
        <v>0</v>
      </c>
      <c r="AE638" s="29">
        <f t="shared" si="7"/>
        <v>0</v>
      </c>
      <c r="AF638" s="29">
        <f t="shared" si="8"/>
        <v>0</v>
      </c>
      <c r="AG638" s="29">
        <f t="shared" si="9"/>
        <v>0</v>
      </c>
      <c r="AH638" s="29">
        <f t="shared" si="10"/>
        <v>0</v>
      </c>
      <c r="AI638" s="11" t="s">
        <v>1039</v>
      </c>
      <c r="AJ638" s="29">
        <f t="shared" si="11"/>
        <v>0</v>
      </c>
      <c r="AK638" s="29">
        <f t="shared" si="12"/>
        <v>0</v>
      </c>
      <c r="AL638" s="29">
        <f t="shared" si="13"/>
        <v>0</v>
      </c>
      <c r="AN638" s="29">
        <v>21</v>
      </c>
      <c r="AO638" s="29">
        <f>G638*1</f>
        <v>0</v>
      </c>
      <c r="AP638" s="29">
        <f>G638*(1-1)</f>
        <v>0</v>
      </c>
      <c r="AQ638" s="31" t="s">
        <v>56</v>
      </c>
      <c r="AV638" s="29">
        <f t="shared" si="14"/>
        <v>0</v>
      </c>
      <c r="AW638" s="29">
        <f t="shared" si="15"/>
        <v>0</v>
      </c>
      <c r="AX638" s="29">
        <f t="shared" si="16"/>
        <v>0</v>
      </c>
      <c r="AY638" s="31" t="s">
        <v>1072</v>
      </c>
      <c r="AZ638" s="31" t="s">
        <v>1073</v>
      </c>
      <c r="BA638" s="11" t="s">
        <v>1044</v>
      </c>
      <c r="BC638" s="29">
        <f t="shared" si="17"/>
        <v>0</v>
      </c>
      <c r="BD638" s="29">
        <f t="shared" si="18"/>
        <v>0</v>
      </c>
      <c r="BE638" s="29">
        <v>0</v>
      </c>
      <c r="BF638" s="29">
        <f>638</f>
        <v>638</v>
      </c>
      <c r="BH638" s="29">
        <f t="shared" si="19"/>
        <v>0</v>
      </c>
      <c r="BI638" s="29">
        <f t="shared" si="20"/>
        <v>0</v>
      </c>
      <c r="BJ638" s="29">
        <f t="shared" si="21"/>
        <v>0</v>
      </c>
      <c r="BK638" s="29"/>
      <c r="BL638" s="29"/>
      <c r="BW638" s="29">
        <v>21</v>
      </c>
      <c r="BX638" s="5" t="s">
        <v>1082</v>
      </c>
    </row>
    <row r="639" spans="1:76" ht="14.4" x14ac:dyDescent="0.3">
      <c r="A639" s="2" t="s">
        <v>1083</v>
      </c>
      <c r="B639" s="3" t="s">
        <v>1084</v>
      </c>
      <c r="C639" s="87" t="s">
        <v>1085</v>
      </c>
      <c r="D639" s="84"/>
      <c r="E639" s="3" t="s">
        <v>350</v>
      </c>
      <c r="F639" s="29">
        <v>1</v>
      </c>
      <c r="G639" s="29">
        <v>0</v>
      </c>
      <c r="H639" s="29">
        <f t="shared" si="0"/>
        <v>0</v>
      </c>
      <c r="I639" s="29">
        <f t="shared" si="1"/>
        <v>0</v>
      </c>
      <c r="J639" s="29">
        <f t="shared" si="2"/>
        <v>0</v>
      </c>
      <c r="K639" s="30" t="s">
        <v>60</v>
      </c>
      <c r="Z639" s="29">
        <f t="shared" si="3"/>
        <v>0</v>
      </c>
      <c r="AB639" s="29">
        <f t="shared" si="4"/>
        <v>0</v>
      </c>
      <c r="AC639" s="29">
        <f t="shared" si="5"/>
        <v>0</v>
      </c>
      <c r="AD639" s="29">
        <f t="shared" si="6"/>
        <v>0</v>
      </c>
      <c r="AE639" s="29">
        <f t="shared" si="7"/>
        <v>0</v>
      </c>
      <c r="AF639" s="29">
        <f t="shared" si="8"/>
        <v>0</v>
      </c>
      <c r="AG639" s="29">
        <f t="shared" si="9"/>
        <v>0</v>
      </c>
      <c r="AH639" s="29">
        <f t="shared" si="10"/>
        <v>0</v>
      </c>
      <c r="AI639" s="11" t="s">
        <v>1039</v>
      </c>
      <c r="AJ639" s="29">
        <f t="shared" si="11"/>
        <v>0</v>
      </c>
      <c r="AK639" s="29">
        <f t="shared" si="12"/>
        <v>0</v>
      </c>
      <c r="AL639" s="29">
        <f t="shared" si="13"/>
        <v>0</v>
      </c>
      <c r="AN639" s="29">
        <v>21</v>
      </c>
      <c r="AO639" s="29">
        <f>G639*0.690140845</f>
        <v>0</v>
      </c>
      <c r="AP639" s="29">
        <f>G639*(1-0.690140845)</f>
        <v>0</v>
      </c>
      <c r="AQ639" s="31" t="s">
        <v>70</v>
      </c>
      <c r="AV639" s="29">
        <f t="shared" si="14"/>
        <v>0</v>
      </c>
      <c r="AW639" s="29">
        <f t="shared" si="15"/>
        <v>0</v>
      </c>
      <c r="AX639" s="29">
        <f t="shared" si="16"/>
        <v>0</v>
      </c>
      <c r="AY639" s="31" t="s">
        <v>1072</v>
      </c>
      <c r="AZ639" s="31" t="s">
        <v>1073</v>
      </c>
      <c r="BA639" s="11" t="s">
        <v>1044</v>
      </c>
      <c r="BC639" s="29">
        <f t="shared" si="17"/>
        <v>0</v>
      </c>
      <c r="BD639" s="29">
        <f t="shared" si="18"/>
        <v>0</v>
      </c>
      <c r="BE639" s="29">
        <v>0</v>
      </c>
      <c r="BF639" s="29">
        <f>639</f>
        <v>639</v>
      </c>
      <c r="BH639" s="29">
        <f t="shared" si="19"/>
        <v>0</v>
      </c>
      <c r="BI639" s="29">
        <f t="shared" si="20"/>
        <v>0</v>
      </c>
      <c r="BJ639" s="29">
        <f t="shared" si="21"/>
        <v>0</v>
      </c>
      <c r="BK639" s="29"/>
      <c r="BL639" s="29"/>
      <c r="BW639" s="29">
        <v>21</v>
      </c>
      <c r="BX639" s="5" t="s">
        <v>1085</v>
      </c>
    </row>
    <row r="640" spans="1:76" ht="14.4" x14ac:dyDescent="0.3">
      <c r="A640" s="2" t="s">
        <v>1086</v>
      </c>
      <c r="B640" s="3" t="s">
        <v>1087</v>
      </c>
      <c r="C640" s="87" t="s">
        <v>1088</v>
      </c>
      <c r="D640" s="84"/>
      <c r="E640" s="3" t="s">
        <v>73</v>
      </c>
      <c r="F640" s="29">
        <v>2</v>
      </c>
      <c r="G640" s="29">
        <v>0</v>
      </c>
      <c r="H640" s="29">
        <f t="shared" si="0"/>
        <v>0</v>
      </c>
      <c r="I640" s="29">
        <f t="shared" si="1"/>
        <v>0</v>
      </c>
      <c r="J640" s="29">
        <f t="shared" si="2"/>
        <v>0</v>
      </c>
      <c r="K640" s="30" t="s">
        <v>60</v>
      </c>
      <c r="Z640" s="29">
        <f t="shared" si="3"/>
        <v>0</v>
      </c>
      <c r="AB640" s="29">
        <f t="shared" si="4"/>
        <v>0</v>
      </c>
      <c r="AC640" s="29">
        <f t="shared" si="5"/>
        <v>0</v>
      </c>
      <c r="AD640" s="29">
        <f t="shared" si="6"/>
        <v>0</v>
      </c>
      <c r="AE640" s="29">
        <f t="shared" si="7"/>
        <v>0</v>
      </c>
      <c r="AF640" s="29">
        <f t="shared" si="8"/>
        <v>0</v>
      </c>
      <c r="AG640" s="29">
        <f t="shared" si="9"/>
        <v>0</v>
      </c>
      <c r="AH640" s="29">
        <f t="shared" si="10"/>
        <v>0</v>
      </c>
      <c r="AI640" s="11" t="s">
        <v>1039</v>
      </c>
      <c r="AJ640" s="29">
        <f t="shared" si="11"/>
        <v>0</v>
      </c>
      <c r="AK640" s="29">
        <f t="shared" si="12"/>
        <v>0</v>
      </c>
      <c r="AL640" s="29">
        <f t="shared" si="13"/>
        <v>0</v>
      </c>
      <c r="AN640" s="29">
        <v>21</v>
      </c>
      <c r="AO640" s="29">
        <f>G640*0.452380952</f>
        <v>0</v>
      </c>
      <c r="AP640" s="29">
        <f>G640*(1-0.452380952)</f>
        <v>0</v>
      </c>
      <c r="AQ640" s="31" t="s">
        <v>70</v>
      </c>
      <c r="AV640" s="29">
        <f t="shared" si="14"/>
        <v>0</v>
      </c>
      <c r="AW640" s="29">
        <f t="shared" si="15"/>
        <v>0</v>
      </c>
      <c r="AX640" s="29">
        <f t="shared" si="16"/>
        <v>0</v>
      </c>
      <c r="AY640" s="31" t="s">
        <v>1072</v>
      </c>
      <c r="AZ640" s="31" t="s">
        <v>1073</v>
      </c>
      <c r="BA640" s="11" t="s">
        <v>1044</v>
      </c>
      <c r="BC640" s="29">
        <f t="shared" si="17"/>
        <v>0</v>
      </c>
      <c r="BD640" s="29">
        <f t="shared" si="18"/>
        <v>0</v>
      </c>
      <c r="BE640" s="29">
        <v>0</v>
      </c>
      <c r="BF640" s="29">
        <f>640</f>
        <v>640</v>
      </c>
      <c r="BH640" s="29">
        <f t="shared" si="19"/>
        <v>0</v>
      </c>
      <c r="BI640" s="29">
        <f t="shared" si="20"/>
        <v>0</v>
      </c>
      <c r="BJ640" s="29">
        <f t="shared" si="21"/>
        <v>0</v>
      </c>
      <c r="BK640" s="29"/>
      <c r="BL640" s="29"/>
      <c r="BW640" s="29">
        <v>21</v>
      </c>
      <c r="BX640" s="5" t="s">
        <v>1088</v>
      </c>
    </row>
    <row r="641" spans="1:76" ht="14.4" x14ac:dyDescent="0.3">
      <c r="A641" s="2" t="s">
        <v>1089</v>
      </c>
      <c r="B641" s="3" t="s">
        <v>1087</v>
      </c>
      <c r="C641" s="87" t="s">
        <v>1090</v>
      </c>
      <c r="D641" s="84"/>
      <c r="E641" s="3" t="s">
        <v>350</v>
      </c>
      <c r="F641" s="29">
        <v>1</v>
      </c>
      <c r="G641" s="29">
        <v>0</v>
      </c>
      <c r="H641" s="29">
        <f t="shared" si="0"/>
        <v>0</v>
      </c>
      <c r="I641" s="29">
        <f t="shared" si="1"/>
        <v>0</v>
      </c>
      <c r="J641" s="29">
        <f t="shared" si="2"/>
        <v>0</v>
      </c>
      <c r="K641" s="30" t="s">
        <v>60</v>
      </c>
      <c r="Z641" s="29">
        <f t="shared" si="3"/>
        <v>0</v>
      </c>
      <c r="AB641" s="29">
        <f t="shared" si="4"/>
        <v>0</v>
      </c>
      <c r="AC641" s="29">
        <f t="shared" si="5"/>
        <v>0</v>
      </c>
      <c r="AD641" s="29">
        <f t="shared" si="6"/>
        <v>0</v>
      </c>
      <c r="AE641" s="29">
        <f t="shared" si="7"/>
        <v>0</v>
      </c>
      <c r="AF641" s="29">
        <f t="shared" si="8"/>
        <v>0</v>
      </c>
      <c r="AG641" s="29">
        <f t="shared" si="9"/>
        <v>0</v>
      </c>
      <c r="AH641" s="29">
        <f t="shared" si="10"/>
        <v>0</v>
      </c>
      <c r="AI641" s="11" t="s">
        <v>1039</v>
      </c>
      <c r="AJ641" s="29">
        <f t="shared" si="11"/>
        <v>0</v>
      </c>
      <c r="AK641" s="29">
        <f t="shared" si="12"/>
        <v>0</v>
      </c>
      <c r="AL641" s="29">
        <f t="shared" si="13"/>
        <v>0</v>
      </c>
      <c r="AN641" s="29">
        <v>21</v>
      </c>
      <c r="AO641" s="29">
        <f>G641*0.4</f>
        <v>0</v>
      </c>
      <c r="AP641" s="29">
        <f>G641*(1-0.4)</f>
        <v>0</v>
      </c>
      <c r="AQ641" s="31" t="s">
        <v>70</v>
      </c>
      <c r="AV641" s="29">
        <f t="shared" si="14"/>
        <v>0</v>
      </c>
      <c r="AW641" s="29">
        <f t="shared" si="15"/>
        <v>0</v>
      </c>
      <c r="AX641" s="29">
        <f t="shared" si="16"/>
        <v>0</v>
      </c>
      <c r="AY641" s="31" t="s">
        <v>1072</v>
      </c>
      <c r="AZ641" s="31" t="s">
        <v>1073</v>
      </c>
      <c r="BA641" s="11" t="s">
        <v>1044</v>
      </c>
      <c r="BC641" s="29">
        <f t="shared" si="17"/>
        <v>0</v>
      </c>
      <c r="BD641" s="29">
        <f t="shared" si="18"/>
        <v>0</v>
      </c>
      <c r="BE641" s="29">
        <v>0</v>
      </c>
      <c r="BF641" s="29">
        <f>641</f>
        <v>641</v>
      </c>
      <c r="BH641" s="29">
        <f t="shared" si="19"/>
        <v>0</v>
      </c>
      <c r="BI641" s="29">
        <f t="shared" si="20"/>
        <v>0</v>
      </c>
      <c r="BJ641" s="29">
        <f t="shared" si="21"/>
        <v>0</v>
      </c>
      <c r="BK641" s="29"/>
      <c r="BL641" s="29"/>
      <c r="BW641" s="29">
        <v>21</v>
      </c>
      <c r="BX641" s="5" t="s">
        <v>1090</v>
      </c>
    </row>
    <row r="642" spans="1:76" ht="14.4" x14ac:dyDescent="0.3">
      <c r="A642" s="2" t="s">
        <v>1091</v>
      </c>
      <c r="B642" s="3" t="s">
        <v>1087</v>
      </c>
      <c r="C642" s="87" t="s">
        <v>1092</v>
      </c>
      <c r="D642" s="84"/>
      <c r="E642" s="3" t="s">
        <v>1022</v>
      </c>
      <c r="F642" s="29">
        <v>1</v>
      </c>
      <c r="G642" s="29">
        <v>0</v>
      </c>
      <c r="H642" s="29">
        <f t="shared" si="0"/>
        <v>0</v>
      </c>
      <c r="I642" s="29">
        <f t="shared" si="1"/>
        <v>0</v>
      </c>
      <c r="J642" s="29">
        <f t="shared" si="2"/>
        <v>0</v>
      </c>
      <c r="K642" s="30" t="s">
        <v>60</v>
      </c>
      <c r="Z642" s="29">
        <f t="shared" si="3"/>
        <v>0</v>
      </c>
      <c r="AB642" s="29">
        <f t="shared" si="4"/>
        <v>0</v>
      </c>
      <c r="AC642" s="29">
        <f t="shared" si="5"/>
        <v>0</v>
      </c>
      <c r="AD642" s="29">
        <f t="shared" si="6"/>
        <v>0</v>
      </c>
      <c r="AE642" s="29">
        <f t="shared" si="7"/>
        <v>0</v>
      </c>
      <c r="AF642" s="29">
        <f t="shared" si="8"/>
        <v>0</v>
      </c>
      <c r="AG642" s="29">
        <f t="shared" si="9"/>
        <v>0</v>
      </c>
      <c r="AH642" s="29">
        <f t="shared" si="10"/>
        <v>0</v>
      </c>
      <c r="AI642" s="11" t="s">
        <v>1039</v>
      </c>
      <c r="AJ642" s="29">
        <f t="shared" si="11"/>
        <v>0</v>
      </c>
      <c r="AK642" s="29">
        <f t="shared" si="12"/>
        <v>0</v>
      </c>
      <c r="AL642" s="29">
        <f t="shared" si="13"/>
        <v>0</v>
      </c>
      <c r="AN642" s="29">
        <v>21</v>
      </c>
      <c r="AO642" s="29">
        <f>G642*0.5</f>
        <v>0</v>
      </c>
      <c r="AP642" s="29">
        <f>G642*(1-0.5)</f>
        <v>0</v>
      </c>
      <c r="AQ642" s="31" t="s">
        <v>70</v>
      </c>
      <c r="AV642" s="29">
        <f t="shared" si="14"/>
        <v>0</v>
      </c>
      <c r="AW642" s="29">
        <f t="shared" si="15"/>
        <v>0</v>
      </c>
      <c r="AX642" s="29">
        <f t="shared" si="16"/>
        <v>0</v>
      </c>
      <c r="AY642" s="31" t="s">
        <v>1072</v>
      </c>
      <c r="AZ642" s="31" t="s">
        <v>1073</v>
      </c>
      <c r="BA642" s="11" t="s">
        <v>1044</v>
      </c>
      <c r="BC642" s="29">
        <f t="shared" si="17"/>
        <v>0</v>
      </c>
      <c r="BD642" s="29">
        <f t="shared" si="18"/>
        <v>0</v>
      </c>
      <c r="BE642" s="29">
        <v>0</v>
      </c>
      <c r="BF642" s="29">
        <f>642</f>
        <v>642</v>
      </c>
      <c r="BH642" s="29">
        <f t="shared" si="19"/>
        <v>0</v>
      </c>
      <c r="BI642" s="29">
        <f t="shared" si="20"/>
        <v>0</v>
      </c>
      <c r="BJ642" s="29">
        <f t="shared" si="21"/>
        <v>0</v>
      </c>
      <c r="BK642" s="29"/>
      <c r="BL642" s="29"/>
      <c r="BW642" s="29">
        <v>21</v>
      </c>
      <c r="BX642" s="5" t="s">
        <v>1092</v>
      </c>
    </row>
    <row r="643" spans="1:76" ht="14.4" x14ac:dyDescent="0.3">
      <c r="A643" s="2" t="s">
        <v>1093</v>
      </c>
      <c r="B643" s="3" t="s">
        <v>1094</v>
      </c>
      <c r="C643" s="87" t="s">
        <v>1095</v>
      </c>
      <c r="D643" s="84"/>
      <c r="E643" s="3" t="s">
        <v>1022</v>
      </c>
      <c r="F643" s="29">
        <v>1</v>
      </c>
      <c r="G643" s="29">
        <v>0</v>
      </c>
      <c r="H643" s="29">
        <f t="shared" si="0"/>
        <v>0</v>
      </c>
      <c r="I643" s="29">
        <f t="shared" si="1"/>
        <v>0</v>
      </c>
      <c r="J643" s="29">
        <f t="shared" si="2"/>
        <v>0</v>
      </c>
      <c r="K643" s="30" t="s">
        <v>51</v>
      </c>
      <c r="Z643" s="29">
        <f t="shared" si="3"/>
        <v>0</v>
      </c>
      <c r="AB643" s="29">
        <f t="shared" si="4"/>
        <v>0</v>
      </c>
      <c r="AC643" s="29">
        <f t="shared" si="5"/>
        <v>0</v>
      </c>
      <c r="AD643" s="29">
        <f t="shared" si="6"/>
        <v>0</v>
      </c>
      <c r="AE643" s="29">
        <f t="shared" si="7"/>
        <v>0</v>
      </c>
      <c r="AF643" s="29">
        <f t="shared" si="8"/>
        <v>0</v>
      </c>
      <c r="AG643" s="29">
        <f t="shared" si="9"/>
        <v>0</v>
      </c>
      <c r="AH643" s="29">
        <f t="shared" si="10"/>
        <v>0</v>
      </c>
      <c r="AI643" s="11" t="s">
        <v>1039</v>
      </c>
      <c r="AJ643" s="29">
        <f t="shared" si="11"/>
        <v>0</v>
      </c>
      <c r="AK643" s="29">
        <f t="shared" si="12"/>
        <v>0</v>
      </c>
      <c r="AL643" s="29">
        <f t="shared" si="13"/>
        <v>0</v>
      </c>
      <c r="AN643" s="29">
        <v>21</v>
      </c>
      <c r="AO643" s="29">
        <f>G643*0.5</f>
        <v>0</v>
      </c>
      <c r="AP643" s="29">
        <f>G643*(1-0.5)</f>
        <v>0</v>
      </c>
      <c r="AQ643" s="31" t="s">
        <v>56</v>
      </c>
      <c r="AV643" s="29">
        <f t="shared" si="14"/>
        <v>0</v>
      </c>
      <c r="AW643" s="29">
        <f t="shared" si="15"/>
        <v>0</v>
      </c>
      <c r="AX643" s="29">
        <f t="shared" si="16"/>
        <v>0</v>
      </c>
      <c r="AY643" s="31" t="s">
        <v>1072</v>
      </c>
      <c r="AZ643" s="31" t="s">
        <v>1073</v>
      </c>
      <c r="BA643" s="11" t="s">
        <v>1044</v>
      </c>
      <c r="BC643" s="29">
        <f t="shared" si="17"/>
        <v>0</v>
      </c>
      <c r="BD643" s="29">
        <f t="shared" si="18"/>
        <v>0</v>
      </c>
      <c r="BE643" s="29">
        <v>0</v>
      </c>
      <c r="BF643" s="29">
        <f>643</f>
        <v>643</v>
      </c>
      <c r="BH643" s="29">
        <f t="shared" si="19"/>
        <v>0</v>
      </c>
      <c r="BI643" s="29">
        <f t="shared" si="20"/>
        <v>0</v>
      </c>
      <c r="BJ643" s="29">
        <f t="shared" si="21"/>
        <v>0</v>
      </c>
      <c r="BK643" s="29"/>
      <c r="BL643" s="29"/>
      <c r="BW643" s="29">
        <v>21</v>
      </c>
      <c r="BX643" s="5" t="s">
        <v>1095</v>
      </c>
    </row>
    <row r="644" spans="1:76" ht="14.4" x14ac:dyDescent="0.3">
      <c r="A644" s="25" t="s">
        <v>51</v>
      </c>
      <c r="B644" s="26" t="s">
        <v>1096</v>
      </c>
      <c r="C644" s="143" t="s">
        <v>1097</v>
      </c>
      <c r="D644" s="144"/>
      <c r="E644" s="27" t="s">
        <v>4</v>
      </c>
      <c r="F644" s="27" t="s">
        <v>4</v>
      </c>
      <c r="G644" s="27" t="s">
        <v>4</v>
      </c>
      <c r="H644" s="1">
        <f>SUM(H645:H648)</f>
        <v>0</v>
      </c>
      <c r="I644" s="1">
        <f>SUM(I645:I648)</f>
        <v>0</v>
      </c>
      <c r="J644" s="1">
        <f>SUM(J645:J648)</f>
        <v>0</v>
      </c>
      <c r="K644" s="28" t="s">
        <v>51</v>
      </c>
      <c r="AI644" s="11" t="s">
        <v>1039</v>
      </c>
      <c r="AS644" s="1">
        <f>SUM(AJ645:AJ648)</f>
        <v>0</v>
      </c>
      <c r="AT644" s="1">
        <f>SUM(AK645:AK648)</f>
        <v>0</v>
      </c>
      <c r="AU644" s="1">
        <f>SUM(AL645:AL648)</f>
        <v>0</v>
      </c>
    </row>
    <row r="645" spans="1:76" ht="14.4" x14ac:dyDescent="0.3">
      <c r="A645" s="2" t="s">
        <v>1098</v>
      </c>
      <c r="B645" s="3" t="s">
        <v>1087</v>
      </c>
      <c r="C645" s="87" t="s">
        <v>1099</v>
      </c>
      <c r="D645" s="84"/>
      <c r="E645" s="3" t="s">
        <v>350</v>
      </c>
      <c r="F645" s="29">
        <v>1</v>
      </c>
      <c r="G645" s="29">
        <v>0</v>
      </c>
      <c r="H645" s="29">
        <f>F645*AO645</f>
        <v>0</v>
      </c>
      <c r="I645" s="29">
        <f>F645*AP645</f>
        <v>0</v>
      </c>
      <c r="J645" s="29">
        <f>F645*G645</f>
        <v>0</v>
      </c>
      <c r="K645" s="30" t="s">
        <v>60</v>
      </c>
      <c r="Z645" s="29">
        <f>IF(AQ645="5",BJ645,0)</f>
        <v>0</v>
      </c>
      <c r="AB645" s="29">
        <f>IF(AQ645="1",BH645,0)</f>
        <v>0</v>
      </c>
      <c r="AC645" s="29">
        <f>IF(AQ645="1",BI645,0)</f>
        <v>0</v>
      </c>
      <c r="AD645" s="29">
        <f>IF(AQ645="7",BH645,0)</f>
        <v>0</v>
      </c>
      <c r="AE645" s="29">
        <f>IF(AQ645="7",BI645,0)</f>
        <v>0</v>
      </c>
      <c r="AF645" s="29">
        <f>IF(AQ645="2",BH645,0)</f>
        <v>0</v>
      </c>
      <c r="AG645" s="29">
        <f>IF(AQ645="2",BI645,0)</f>
        <v>0</v>
      </c>
      <c r="AH645" s="29">
        <f>IF(AQ645="0",BJ645,0)</f>
        <v>0</v>
      </c>
      <c r="AI645" s="11" t="s">
        <v>1039</v>
      </c>
      <c r="AJ645" s="29">
        <f>IF(AN645=0,J645,0)</f>
        <v>0</v>
      </c>
      <c r="AK645" s="29">
        <f>IF(AN645=12,J645,0)</f>
        <v>0</v>
      </c>
      <c r="AL645" s="29">
        <f>IF(AN645=21,J645,0)</f>
        <v>0</v>
      </c>
      <c r="AN645" s="29">
        <v>21</v>
      </c>
      <c r="AO645" s="29">
        <f>G645*0.886006289</f>
        <v>0</v>
      </c>
      <c r="AP645" s="29">
        <f>G645*(1-0.886006289)</f>
        <v>0</v>
      </c>
      <c r="AQ645" s="31" t="s">
        <v>70</v>
      </c>
      <c r="AV645" s="29">
        <f>AW645+AX645</f>
        <v>0</v>
      </c>
      <c r="AW645" s="29">
        <f>F645*AO645</f>
        <v>0</v>
      </c>
      <c r="AX645" s="29">
        <f>F645*AP645</f>
        <v>0</v>
      </c>
      <c r="AY645" s="31" t="s">
        <v>1100</v>
      </c>
      <c r="AZ645" s="31" t="s">
        <v>1055</v>
      </c>
      <c r="BA645" s="11" t="s">
        <v>1044</v>
      </c>
      <c r="BC645" s="29">
        <f>AW645+AX645</f>
        <v>0</v>
      </c>
      <c r="BD645" s="29">
        <f>G645/(100-BE645)*100</f>
        <v>0</v>
      </c>
      <c r="BE645" s="29">
        <v>0</v>
      </c>
      <c r="BF645" s="29">
        <f>645</f>
        <v>645</v>
      </c>
      <c r="BH645" s="29">
        <f>F645*AO645</f>
        <v>0</v>
      </c>
      <c r="BI645" s="29">
        <f>F645*AP645</f>
        <v>0</v>
      </c>
      <c r="BJ645" s="29">
        <f>F645*G645</f>
        <v>0</v>
      </c>
      <c r="BK645" s="29"/>
      <c r="BL645" s="29"/>
      <c r="BW645" s="29">
        <v>21</v>
      </c>
      <c r="BX645" s="5" t="s">
        <v>1099</v>
      </c>
    </row>
    <row r="646" spans="1:76" ht="26.4" x14ac:dyDescent="0.3">
      <c r="A646" s="2" t="s">
        <v>1101</v>
      </c>
      <c r="B646" s="3" t="s">
        <v>1087</v>
      </c>
      <c r="C646" s="87" t="s">
        <v>1102</v>
      </c>
      <c r="D646" s="84"/>
      <c r="E646" s="3" t="s">
        <v>350</v>
      </c>
      <c r="F646" s="29">
        <v>1</v>
      </c>
      <c r="G646" s="29">
        <v>0</v>
      </c>
      <c r="H646" s="29">
        <f>F646*AO646</f>
        <v>0</v>
      </c>
      <c r="I646" s="29">
        <f>F646*AP646</f>
        <v>0</v>
      </c>
      <c r="J646" s="29">
        <f>F646*G646</f>
        <v>0</v>
      </c>
      <c r="K646" s="30" t="s">
        <v>60</v>
      </c>
      <c r="Z646" s="29">
        <f>IF(AQ646="5",BJ646,0)</f>
        <v>0</v>
      </c>
      <c r="AB646" s="29">
        <f>IF(AQ646="1",BH646,0)</f>
        <v>0</v>
      </c>
      <c r="AC646" s="29">
        <f>IF(AQ646="1",BI646,0)</f>
        <v>0</v>
      </c>
      <c r="AD646" s="29">
        <f>IF(AQ646="7",BH646,0)</f>
        <v>0</v>
      </c>
      <c r="AE646" s="29">
        <f>IF(AQ646="7",BI646,0)</f>
        <v>0</v>
      </c>
      <c r="AF646" s="29">
        <f>IF(AQ646="2",BH646,0)</f>
        <v>0</v>
      </c>
      <c r="AG646" s="29">
        <f>IF(AQ646="2",BI646,0)</f>
        <v>0</v>
      </c>
      <c r="AH646" s="29">
        <f>IF(AQ646="0",BJ646,0)</f>
        <v>0</v>
      </c>
      <c r="AI646" s="11" t="s">
        <v>1039</v>
      </c>
      <c r="AJ646" s="29">
        <f>IF(AN646=0,J646,0)</f>
        <v>0</v>
      </c>
      <c r="AK646" s="29">
        <f>IF(AN646=12,J646,0)</f>
        <v>0</v>
      </c>
      <c r="AL646" s="29">
        <f>IF(AN646=21,J646,0)</f>
        <v>0</v>
      </c>
      <c r="AN646" s="29">
        <v>21</v>
      </c>
      <c r="AO646" s="29">
        <f>G646*0.734922861</f>
        <v>0</v>
      </c>
      <c r="AP646" s="29">
        <f>G646*(1-0.734922861)</f>
        <v>0</v>
      </c>
      <c r="AQ646" s="31" t="s">
        <v>70</v>
      </c>
      <c r="AV646" s="29">
        <f>AW646+AX646</f>
        <v>0</v>
      </c>
      <c r="AW646" s="29">
        <f>F646*AO646</f>
        <v>0</v>
      </c>
      <c r="AX646" s="29">
        <f>F646*AP646</f>
        <v>0</v>
      </c>
      <c r="AY646" s="31" t="s">
        <v>1100</v>
      </c>
      <c r="AZ646" s="31" t="s">
        <v>1055</v>
      </c>
      <c r="BA646" s="11" t="s">
        <v>1044</v>
      </c>
      <c r="BC646" s="29">
        <f>AW646+AX646</f>
        <v>0</v>
      </c>
      <c r="BD646" s="29">
        <f>G646/(100-BE646)*100</f>
        <v>0</v>
      </c>
      <c r="BE646" s="29">
        <v>0</v>
      </c>
      <c r="BF646" s="29">
        <f>646</f>
        <v>646</v>
      </c>
      <c r="BH646" s="29">
        <f>F646*AO646</f>
        <v>0</v>
      </c>
      <c r="BI646" s="29">
        <f>F646*AP646</f>
        <v>0</v>
      </c>
      <c r="BJ646" s="29">
        <f>F646*G646</f>
        <v>0</v>
      </c>
      <c r="BK646" s="29"/>
      <c r="BL646" s="29"/>
      <c r="BW646" s="29">
        <v>21</v>
      </c>
      <c r="BX646" s="5" t="s">
        <v>1102</v>
      </c>
    </row>
    <row r="647" spans="1:76" ht="14.4" x14ac:dyDescent="0.3">
      <c r="A647" s="2" t="s">
        <v>1103</v>
      </c>
      <c r="B647" s="3" t="s">
        <v>1087</v>
      </c>
      <c r="C647" s="87" t="s">
        <v>1104</v>
      </c>
      <c r="D647" s="84"/>
      <c r="E647" s="3" t="s">
        <v>1022</v>
      </c>
      <c r="F647" s="29">
        <v>1</v>
      </c>
      <c r="G647" s="29">
        <v>0</v>
      </c>
      <c r="H647" s="29">
        <f>F647*AO647</f>
        <v>0</v>
      </c>
      <c r="I647" s="29">
        <f>F647*AP647</f>
        <v>0</v>
      </c>
      <c r="J647" s="29">
        <f>F647*G647</f>
        <v>0</v>
      </c>
      <c r="K647" s="30" t="s">
        <v>60</v>
      </c>
      <c r="Z647" s="29">
        <f>IF(AQ647="5",BJ647,0)</f>
        <v>0</v>
      </c>
      <c r="AB647" s="29">
        <f>IF(AQ647="1",BH647,0)</f>
        <v>0</v>
      </c>
      <c r="AC647" s="29">
        <f>IF(AQ647="1",BI647,0)</f>
        <v>0</v>
      </c>
      <c r="AD647" s="29">
        <f>IF(AQ647="7",BH647,0)</f>
        <v>0</v>
      </c>
      <c r="AE647" s="29">
        <f>IF(AQ647="7",BI647,0)</f>
        <v>0</v>
      </c>
      <c r="AF647" s="29">
        <f>IF(AQ647="2",BH647,0)</f>
        <v>0</v>
      </c>
      <c r="AG647" s="29">
        <f>IF(AQ647="2",BI647,0)</f>
        <v>0</v>
      </c>
      <c r="AH647" s="29">
        <f>IF(AQ647="0",BJ647,0)</f>
        <v>0</v>
      </c>
      <c r="AI647" s="11" t="s">
        <v>1039</v>
      </c>
      <c r="AJ647" s="29">
        <f>IF(AN647=0,J647,0)</f>
        <v>0</v>
      </c>
      <c r="AK647" s="29">
        <f>IF(AN647=12,J647,0)</f>
        <v>0</v>
      </c>
      <c r="AL647" s="29">
        <f>IF(AN647=21,J647,0)</f>
        <v>0</v>
      </c>
      <c r="AN647" s="29">
        <v>21</v>
      </c>
      <c r="AO647" s="29">
        <f>G647*0.595744681</f>
        <v>0</v>
      </c>
      <c r="AP647" s="29">
        <f>G647*(1-0.595744681)</f>
        <v>0</v>
      </c>
      <c r="AQ647" s="31" t="s">
        <v>70</v>
      </c>
      <c r="AV647" s="29">
        <f>AW647+AX647</f>
        <v>0</v>
      </c>
      <c r="AW647" s="29">
        <f>F647*AO647</f>
        <v>0</v>
      </c>
      <c r="AX647" s="29">
        <f>F647*AP647</f>
        <v>0</v>
      </c>
      <c r="AY647" s="31" t="s">
        <v>1100</v>
      </c>
      <c r="AZ647" s="31" t="s">
        <v>1055</v>
      </c>
      <c r="BA647" s="11" t="s">
        <v>1044</v>
      </c>
      <c r="BC647" s="29">
        <f>AW647+AX647</f>
        <v>0</v>
      </c>
      <c r="BD647" s="29">
        <f>G647/(100-BE647)*100</f>
        <v>0</v>
      </c>
      <c r="BE647" s="29">
        <v>0</v>
      </c>
      <c r="BF647" s="29">
        <f>647</f>
        <v>647</v>
      </c>
      <c r="BH647" s="29">
        <f>F647*AO647</f>
        <v>0</v>
      </c>
      <c r="BI647" s="29">
        <f>F647*AP647</f>
        <v>0</v>
      </c>
      <c r="BJ647" s="29">
        <f>F647*G647</f>
        <v>0</v>
      </c>
      <c r="BK647" s="29"/>
      <c r="BL647" s="29"/>
      <c r="BW647" s="29">
        <v>21</v>
      </c>
      <c r="BX647" s="5" t="s">
        <v>1104</v>
      </c>
    </row>
    <row r="648" spans="1:76" ht="14.4" x14ac:dyDescent="0.3">
      <c r="A648" s="2" t="s">
        <v>1105</v>
      </c>
      <c r="B648" s="3" t="s">
        <v>1106</v>
      </c>
      <c r="C648" s="87" t="s">
        <v>1107</v>
      </c>
      <c r="D648" s="84"/>
      <c r="E648" s="3" t="s">
        <v>1022</v>
      </c>
      <c r="F648" s="29">
        <v>1</v>
      </c>
      <c r="G648" s="29">
        <v>0</v>
      </c>
      <c r="H648" s="29">
        <f>F648*AO648</f>
        <v>0</v>
      </c>
      <c r="I648" s="29">
        <f>F648*AP648</f>
        <v>0</v>
      </c>
      <c r="J648" s="29">
        <f>F648*G648</f>
        <v>0</v>
      </c>
      <c r="K648" s="30" t="s">
        <v>60</v>
      </c>
      <c r="Z648" s="29">
        <f>IF(AQ648="5",BJ648,0)</f>
        <v>0</v>
      </c>
      <c r="AB648" s="29">
        <f>IF(AQ648="1",BH648,0)</f>
        <v>0</v>
      </c>
      <c r="AC648" s="29">
        <f>IF(AQ648="1",BI648,0)</f>
        <v>0</v>
      </c>
      <c r="AD648" s="29">
        <f>IF(AQ648="7",BH648,0)</f>
        <v>0</v>
      </c>
      <c r="AE648" s="29">
        <f>IF(AQ648="7",BI648,0)</f>
        <v>0</v>
      </c>
      <c r="AF648" s="29">
        <f>IF(AQ648="2",BH648,0)</f>
        <v>0</v>
      </c>
      <c r="AG648" s="29">
        <f>IF(AQ648="2",BI648,0)</f>
        <v>0</v>
      </c>
      <c r="AH648" s="29">
        <f>IF(AQ648="0",BJ648,0)</f>
        <v>0</v>
      </c>
      <c r="AI648" s="11" t="s">
        <v>1039</v>
      </c>
      <c r="AJ648" s="29">
        <f>IF(AN648=0,J648,0)</f>
        <v>0</v>
      </c>
      <c r="AK648" s="29">
        <f>IF(AN648=12,J648,0)</f>
        <v>0</v>
      </c>
      <c r="AL648" s="29">
        <f>IF(AN648=21,J648,0)</f>
        <v>0</v>
      </c>
      <c r="AN648" s="29">
        <v>21</v>
      </c>
      <c r="AO648" s="29">
        <f>G648*0.5</f>
        <v>0</v>
      </c>
      <c r="AP648" s="29">
        <f>G648*(1-0.5)</f>
        <v>0</v>
      </c>
      <c r="AQ648" s="31" t="s">
        <v>70</v>
      </c>
      <c r="AV648" s="29">
        <f>AW648+AX648</f>
        <v>0</v>
      </c>
      <c r="AW648" s="29">
        <f>F648*AO648</f>
        <v>0</v>
      </c>
      <c r="AX648" s="29">
        <f>F648*AP648</f>
        <v>0</v>
      </c>
      <c r="AY648" s="31" t="s">
        <v>1100</v>
      </c>
      <c r="AZ648" s="31" t="s">
        <v>1055</v>
      </c>
      <c r="BA648" s="11" t="s">
        <v>1044</v>
      </c>
      <c r="BC648" s="29">
        <f>AW648+AX648</f>
        <v>0</v>
      </c>
      <c r="BD648" s="29">
        <f>G648/(100-BE648)*100</f>
        <v>0</v>
      </c>
      <c r="BE648" s="29">
        <v>0</v>
      </c>
      <c r="BF648" s="29">
        <f>648</f>
        <v>648</v>
      </c>
      <c r="BH648" s="29">
        <f>F648*AO648</f>
        <v>0</v>
      </c>
      <c r="BI648" s="29">
        <f>F648*AP648</f>
        <v>0</v>
      </c>
      <c r="BJ648" s="29">
        <f>F648*G648</f>
        <v>0</v>
      </c>
      <c r="BK648" s="29"/>
      <c r="BL648" s="29"/>
      <c r="BW648" s="29">
        <v>21</v>
      </c>
      <c r="BX648" s="5" t="s">
        <v>1107</v>
      </c>
    </row>
    <row r="649" spans="1:76" ht="14.4" x14ac:dyDescent="0.3">
      <c r="A649" s="25" t="s">
        <v>51</v>
      </c>
      <c r="B649" s="26" t="s">
        <v>1108</v>
      </c>
      <c r="C649" s="143" t="s">
        <v>1109</v>
      </c>
      <c r="D649" s="144"/>
      <c r="E649" s="27" t="s">
        <v>4</v>
      </c>
      <c r="F649" s="27" t="s">
        <v>4</v>
      </c>
      <c r="G649" s="27" t="s">
        <v>4</v>
      </c>
      <c r="H649" s="1">
        <f>SUM(H650:H650)</f>
        <v>0</v>
      </c>
      <c r="I649" s="1">
        <f>SUM(I650:I650)</f>
        <v>0</v>
      </c>
      <c r="J649" s="1">
        <f>SUM(J650:J650)</f>
        <v>0</v>
      </c>
      <c r="K649" s="28" t="s">
        <v>51</v>
      </c>
      <c r="AI649" s="11" t="s">
        <v>1039</v>
      </c>
      <c r="AS649" s="1">
        <f>SUM(AJ650:AJ650)</f>
        <v>0</v>
      </c>
      <c r="AT649" s="1">
        <f>SUM(AK650:AK650)</f>
        <v>0</v>
      </c>
      <c r="AU649" s="1">
        <f>SUM(AL650:AL650)</f>
        <v>0</v>
      </c>
    </row>
    <row r="650" spans="1:76" ht="14.4" x14ac:dyDescent="0.3">
      <c r="A650" s="2" t="s">
        <v>1110</v>
      </c>
      <c r="B650" s="3" t="s">
        <v>1111</v>
      </c>
      <c r="C650" s="87" t="s">
        <v>1112</v>
      </c>
      <c r="D650" s="84"/>
      <c r="E650" s="3" t="s">
        <v>103</v>
      </c>
      <c r="F650" s="29">
        <v>16</v>
      </c>
      <c r="G650" s="29">
        <v>0</v>
      </c>
      <c r="H650" s="29">
        <f>F650*AO650</f>
        <v>0</v>
      </c>
      <c r="I650" s="29">
        <f>F650*AP650</f>
        <v>0</v>
      </c>
      <c r="J650" s="29">
        <f>F650*G650</f>
        <v>0</v>
      </c>
      <c r="K650" s="30" t="s">
        <v>60</v>
      </c>
      <c r="Z650" s="29">
        <f>IF(AQ650="5",BJ650,0)</f>
        <v>0</v>
      </c>
      <c r="AB650" s="29">
        <f>IF(AQ650="1",BH650,0)</f>
        <v>0</v>
      </c>
      <c r="AC650" s="29">
        <f>IF(AQ650="1",BI650,0)</f>
        <v>0</v>
      </c>
      <c r="AD650" s="29">
        <f>IF(AQ650="7",BH650,0)</f>
        <v>0</v>
      </c>
      <c r="AE650" s="29">
        <f>IF(AQ650="7",BI650,0)</f>
        <v>0</v>
      </c>
      <c r="AF650" s="29">
        <f>IF(AQ650="2",BH650,0)</f>
        <v>0</v>
      </c>
      <c r="AG650" s="29">
        <f>IF(AQ650="2",BI650,0)</f>
        <v>0</v>
      </c>
      <c r="AH650" s="29">
        <f>IF(AQ650="0",BJ650,0)</f>
        <v>0</v>
      </c>
      <c r="AI650" s="11" t="s">
        <v>1039</v>
      </c>
      <c r="AJ650" s="29">
        <f>IF(AN650=0,J650,0)</f>
        <v>0</v>
      </c>
      <c r="AK650" s="29">
        <f>IF(AN650=12,J650,0)</f>
        <v>0</v>
      </c>
      <c r="AL650" s="29">
        <f>IF(AN650=21,J650,0)</f>
        <v>0</v>
      </c>
      <c r="AN650" s="29">
        <v>21</v>
      </c>
      <c r="AO650" s="29">
        <f>G650*0.510362694</f>
        <v>0</v>
      </c>
      <c r="AP650" s="29">
        <f>G650*(1-0.510362694)</f>
        <v>0</v>
      </c>
      <c r="AQ650" s="31" t="s">
        <v>70</v>
      </c>
      <c r="AV650" s="29">
        <f>AW650+AX650</f>
        <v>0</v>
      </c>
      <c r="AW650" s="29">
        <f>F650*AO650</f>
        <v>0</v>
      </c>
      <c r="AX650" s="29">
        <f>F650*AP650</f>
        <v>0</v>
      </c>
      <c r="AY650" s="31" t="s">
        <v>1113</v>
      </c>
      <c r="AZ650" s="31" t="s">
        <v>1114</v>
      </c>
      <c r="BA650" s="11" t="s">
        <v>1044</v>
      </c>
      <c r="BC650" s="29">
        <f>AW650+AX650</f>
        <v>0</v>
      </c>
      <c r="BD650" s="29">
        <f>G650/(100-BE650)*100</f>
        <v>0</v>
      </c>
      <c r="BE650" s="29">
        <v>0</v>
      </c>
      <c r="BF650" s="29">
        <f>650</f>
        <v>650</v>
      </c>
      <c r="BH650" s="29">
        <f>F650*AO650</f>
        <v>0</v>
      </c>
      <c r="BI650" s="29">
        <f>F650*AP650</f>
        <v>0</v>
      </c>
      <c r="BJ650" s="29">
        <f>F650*G650</f>
        <v>0</v>
      </c>
      <c r="BK650" s="29"/>
      <c r="BL650" s="29"/>
      <c r="BW650" s="29">
        <v>21</v>
      </c>
      <c r="BX650" s="5" t="s">
        <v>1112</v>
      </c>
    </row>
    <row r="651" spans="1:76" ht="14.4" x14ac:dyDescent="0.3">
      <c r="A651" s="25" t="s">
        <v>51</v>
      </c>
      <c r="B651" s="26" t="s">
        <v>1115</v>
      </c>
      <c r="C651" s="143" t="s">
        <v>1116</v>
      </c>
      <c r="D651" s="144"/>
      <c r="E651" s="27" t="s">
        <v>4</v>
      </c>
      <c r="F651" s="27" t="s">
        <v>4</v>
      </c>
      <c r="G651" s="27" t="s">
        <v>4</v>
      </c>
      <c r="H651" s="1">
        <f>SUM(H652:H656)</f>
        <v>0</v>
      </c>
      <c r="I651" s="1">
        <f>SUM(I652:I656)</f>
        <v>0</v>
      </c>
      <c r="J651" s="1">
        <f>SUM(J652:J656)</f>
        <v>0</v>
      </c>
      <c r="K651" s="28" t="s">
        <v>51</v>
      </c>
      <c r="AI651" s="11" t="s">
        <v>1039</v>
      </c>
      <c r="AS651" s="1">
        <f>SUM(AJ652:AJ656)</f>
        <v>0</v>
      </c>
      <c r="AT651" s="1">
        <f>SUM(AK652:AK656)</f>
        <v>0</v>
      </c>
      <c r="AU651" s="1">
        <f>SUM(AL652:AL656)</f>
        <v>0</v>
      </c>
    </row>
    <row r="652" spans="1:76" ht="14.4" x14ac:dyDescent="0.3">
      <c r="A652" s="2" t="s">
        <v>1117</v>
      </c>
      <c r="B652" s="3" t="s">
        <v>1087</v>
      </c>
      <c r="C652" s="87" t="s">
        <v>1118</v>
      </c>
      <c r="D652" s="84"/>
      <c r="E652" s="3" t="s">
        <v>350</v>
      </c>
      <c r="F652" s="29">
        <v>4</v>
      </c>
      <c r="G652" s="29">
        <v>0</v>
      </c>
      <c r="H652" s="29">
        <f>F652*AO652</f>
        <v>0</v>
      </c>
      <c r="I652" s="29">
        <f>F652*AP652</f>
        <v>0</v>
      </c>
      <c r="J652" s="29">
        <f>F652*G652</f>
        <v>0</v>
      </c>
      <c r="K652" s="30" t="s">
        <v>60</v>
      </c>
      <c r="Z652" s="29">
        <f>IF(AQ652="5",BJ652,0)</f>
        <v>0</v>
      </c>
      <c r="AB652" s="29">
        <f>IF(AQ652="1",BH652,0)</f>
        <v>0</v>
      </c>
      <c r="AC652" s="29">
        <f>IF(AQ652="1",BI652,0)</f>
        <v>0</v>
      </c>
      <c r="AD652" s="29">
        <f>IF(AQ652="7",BH652,0)</f>
        <v>0</v>
      </c>
      <c r="AE652" s="29">
        <f>IF(AQ652="7",BI652,0)</f>
        <v>0</v>
      </c>
      <c r="AF652" s="29">
        <f>IF(AQ652="2",BH652,0)</f>
        <v>0</v>
      </c>
      <c r="AG652" s="29">
        <f>IF(AQ652="2",BI652,0)</f>
        <v>0</v>
      </c>
      <c r="AH652" s="29">
        <f>IF(AQ652="0",BJ652,0)</f>
        <v>0</v>
      </c>
      <c r="AI652" s="11" t="s">
        <v>1039</v>
      </c>
      <c r="AJ652" s="29">
        <f>IF(AN652=0,J652,0)</f>
        <v>0</v>
      </c>
      <c r="AK652" s="29">
        <f>IF(AN652=12,J652,0)</f>
        <v>0</v>
      </c>
      <c r="AL652" s="29">
        <f>IF(AN652=21,J652,0)</f>
        <v>0</v>
      </c>
      <c r="AN652" s="29">
        <v>21</v>
      </c>
      <c r="AO652" s="29">
        <f>G652*0.787985866</f>
        <v>0</v>
      </c>
      <c r="AP652" s="29">
        <f>G652*(1-0.787985866)</f>
        <v>0</v>
      </c>
      <c r="AQ652" s="31" t="s">
        <v>70</v>
      </c>
      <c r="AV652" s="29">
        <f>AW652+AX652</f>
        <v>0</v>
      </c>
      <c r="AW652" s="29">
        <f>F652*AO652</f>
        <v>0</v>
      </c>
      <c r="AX652" s="29">
        <f>F652*AP652</f>
        <v>0</v>
      </c>
      <c r="AY652" s="31" t="s">
        <v>1119</v>
      </c>
      <c r="AZ652" s="31" t="s">
        <v>1114</v>
      </c>
      <c r="BA652" s="11" t="s">
        <v>1044</v>
      </c>
      <c r="BC652" s="29">
        <f>AW652+AX652</f>
        <v>0</v>
      </c>
      <c r="BD652" s="29">
        <f>G652/(100-BE652)*100</f>
        <v>0</v>
      </c>
      <c r="BE652" s="29">
        <v>0</v>
      </c>
      <c r="BF652" s="29">
        <f>652</f>
        <v>652</v>
      </c>
      <c r="BH652" s="29">
        <f>F652*AO652</f>
        <v>0</v>
      </c>
      <c r="BI652" s="29">
        <f>F652*AP652</f>
        <v>0</v>
      </c>
      <c r="BJ652" s="29">
        <f>F652*G652</f>
        <v>0</v>
      </c>
      <c r="BK652" s="29"/>
      <c r="BL652" s="29"/>
      <c r="BW652" s="29">
        <v>21</v>
      </c>
      <c r="BX652" s="5" t="s">
        <v>1118</v>
      </c>
    </row>
    <row r="653" spans="1:76" ht="14.4" x14ac:dyDescent="0.3">
      <c r="A653" s="2" t="s">
        <v>1120</v>
      </c>
      <c r="B653" s="3" t="s">
        <v>1106</v>
      </c>
      <c r="C653" s="87" t="s">
        <v>1121</v>
      </c>
      <c r="D653" s="84"/>
      <c r="E653" s="3" t="s">
        <v>350</v>
      </c>
      <c r="F653" s="29">
        <v>42</v>
      </c>
      <c r="G653" s="29">
        <v>0</v>
      </c>
      <c r="H653" s="29">
        <f>F653*AO653</f>
        <v>0</v>
      </c>
      <c r="I653" s="29">
        <f>F653*AP653</f>
        <v>0</v>
      </c>
      <c r="J653" s="29">
        <f>F653*G653</f>
        <v>0</v>
      </c>
      <c r="K653" s="30" t="s">
        <v>351</v>
      </c>
      <c r="Z653" s="29">
        <f>IF(AQ653="5",BJ653,0)</f>
        <v>0</v>
      </c>
      <c r="AB653" s="29">
        <f>IF(AQ653="1",BH653,0)</f>
        <v>0</v>
      </c>
      <c r="AC653" s="29">
        <f>IF(AQ653="1",BI653,0)</f>
        <v>0</v>
      </c>
      <c r="AD653" s="29">
        <f>IF(AQ653="7",BH653,0)</f>
        <v>0</v>
      </c>
      <c r="AE653" s="29">
        <f>IF(AQ653="7",BI653,0)</f>
        <v>0</v>
      </c>
      <c r="AF653" s="29">
        <f>IF(AQ653="2",BH653,0)</f>
        <v>0</v>
      </c>
      <c r="AG653" s="29">
        <f>IF(AQ653="2",BI653,0)</f>
        <v>0</v>
      </c>
      <c r="AH653" s="29">
        <f>IF(AQ653="0",BJ653,0)</f>
        <v>0</v>
      </c>
      <c r="AI653" s="11" t="s">
        <v>1039</v>
      </c>
      <c r="AJ653" s="29">
        <f>IF(AN653=0,J653,0)</f>
        <v>0</v>
      </c>
      <c r="AK653" s="29">
        <f>IF(AN653=12,J653,0)</f>
        <v>0</v>
      </c>
      <c r="AL653" s="29">
        <f>IF(AN653=21,J653,0)</f>
        <v>0</v>
      </c>
      <c r="AN653" s="29">
        <v>21</v>
      </c>
      <c r="AO653" s="29">
        <f>G653*0.6069869</f>
        <v>0</v>
      </c>
      <c r="AP653" s="29">
        <f>G653*(1-0.6069869)</f>
        <v>0</v>
      </c>
      <c r="AQ653" s="31" t="s">
        <v>70</v>
      </c>
      <c r="AV653" s="29">
        <f>AW653+AX653</f>
        <v>0</v>
      </c>
      <c r="AW653" s="29">
        <f>F653*AO653</f>
        <v>0</v>
      </c>
      <c r="AX653" s="29">
        <f>F653*AP653</f>
        <v>0</v>
      </c>
      <c r="AY653" s="31" t="s">
        <v>1119</v>
      </c>
      <c r="AZ653" s="31" t="s">
        <v>1114</v>
      </c>
      <c r="BA653" s="11" t="s">
        <v>1044</v>
      </c>
      <c r="BC653" s="29">
        <f>AW653+AX653</f>
        <v>0</v>
      </c>
      <c r="BD653" s="29">
        <f>G653/(100-BE653)*100</f>
        <v>0</v>
      </c>
      <c r="BE653" s="29">
        <v>0</v>
      </c>
      <c r="BF653" s="29">
        <f>653</f>
        <v>653</v>
      </c>
      <c r="BH653" s="29">
        <f>F653*AO653</f>
        <v>0</v>
      </c>
      <c r="BI653" s="29">
        <f>F653*AP653</f>
        <v>0</v>
      </c>
      <c r="BJ653" s="29">
        <f>F653*G653</f>
        <v>0</v>
      </c>
      <c r="BK653" s="29"/>
      <c r="BL653" s="29"/>
      <c r="BW653" s="29">
        <v>21</v>
      </c>
      <c r="BX653" s="5" t="s">
        <v>1121</v>
      </c>
    </row>
    <row r="654" spans="1:76" ht="26.4" x14ac:dyDescent="0.3">
      <c r="A654" s="2" t="s">
        <v>1122</v>
      </c>
      <c r="B654" s="3" t="s">
        <v>1123</v>
      </c>
      <c r="C654" s="87" t="s">
        <v>1124</v>
      </c>
      <c r="D654" s="84"/>
      <c r="E654" s="3" t="s">
        <v>350</v>
      </c>
      <c r="F654" s="29">
        <v>3</v>
      </c>
      <c r="G654" s="29">
        <v>0</v>
      </c>
      <c r="H654" s="29">
        <f>F654*AO654</f>
        <v>0</v>
      </c>
      <c r="I654" s="29">
        <f>F654*AP654</f>
        <v>0</v>
      </c>
      <c r="J654" s="29">
        <f>F654*G654</f>
        <v>0</v>
      </c>
      <c r="K654" s="30" t="s">
        <v>351</v>
      </c>
      <c r="Z654" s="29">
        <f>IF(AQ654="5",BJ654,0)</f>
        <v>0</v>
      </c>
      <c r="AB654" s="29">
        <f>IF(AQ654="1",BH654,0)</f>
        <v>0</v>
      </c>
      <c r="AC654" s="29">
        <f>IF(AQ654="1",BI654,0)</f>
        <v>0</v>
      </c>
      <c r="AD654" s="29">
        <f>IF(AQ654="7",BH654,0)</f>
        <v>0</v>
      </c>
      <c r="AE654" s="29">
        <f>IF(AQ654="7",BI654,0)</f>
        <v>0</v>
      </c>
      <c r="AF654" s="29">
        <f>IF(AQ654="2",BH654,0)</f>
        <v>0</v>
      </c>
      <c r="AG654" s="29">
        <f>IF(AQ654="2",BI654,0)</f>
        <v>0</v>
      </c>
      <c r="AH654" s="29">
        <f>IF(AQ654="0",BJ654,0)</f>
        <v>0</v>
      </c>
      <c r="AI654" s="11" t="s">
        <v>1039</v>
      </c>
      <c r="AJ654" s="29">
        <f>IF(AN654=0,J654,0)</f>
        <v>0</v>
      </c>
      <c r="AK654" s="29">
        <f>IF(AN654=12,J654,0)</f>
        <v>0</v>
      </c>
      <c r="AL654" s="29">
        <f>IF(AN654=21,J654,0)</f>
        <v>0</v>
      </c>
      <c r="AN654" s="29">
        <v>21</v>
      </c>
      <c r="AO654" s="29">
        <f>G654*0.620535714</f>
        <v>0</v>
      </c>
      <c r="AP654" s="29">
        <f>G654*(1-0.620535714)</f>
        <v>0</v>
      </c>
      <c r="AQ654" s="31" t="s">
        <v>70</v>
      </c>
      <c r="AV654" s="29">
        <f>AW654+AX654</f>
        <v>0</v>
      </c>
      <c r="AW654" s="29">
        <f>F654*AO654</f>
        <v>0</v>
      </c>
      <c r="AX654" s="29">
        <f>F654*AP654</f>
        <v>0</v>
      </c>
      <c r="AY654" s="31" t="s">
        <v>1119</v>
      </c>
      <c r="AZ654" s="31" t="s">
        <v>1114</v>
      </c>
      <c r="BA654" s="11" t="s">
        <v>1044</v>
      </c>
      <c r="BC654" s="29">
        <f>AW654+AX654</f>
        <v>0</v>
      </c>
      <c r="BD654" s="29">
        <f>G654/(100-BE654)*100</f>
        <v>0</v>
      </c>
      <c r="BE654" s="29">
        <v>0</v>
      </c>
      <c r="BF654" s="29">
        <f>654</f>
        <v>654</v>
      </c>
      <c r="BH654" s="29">
        <f>F654*AO654</f>
        <v>0</v>
      </c>
      <c r="BI654" s="29">
        <f>F654*AP654</f>
        <v>0</v>
      </c>
      <c r="BJ654" s="29">
        <f>F654*G654</f>
        <v>0</v>
      </c>
      <c r="BK654" s="29"/>
      <c r="BL654" s="29"/>
      <c r="BW654" s="29">
        <v>21</v>
      </c>
      <c r="BX654" s="5" t="s">
        <v>1124</v>
      </c>
    </row>
    <row r="655" spans="1:76" ht="14.4" x14ac:dyDescent="0.3">
      <c r="A655" s="2" t="s">
        <v>1125</v>
      </c>
      <c r="B655" s="3" t="s">
        <v>1126</v>
      </c>
      <c r="C655" s="87" t="s">
        <v>1127</v>
      </c>
      <c r="D655" s="84"/>
      <c r="E655" s="3" t="s">
        <v>350</v>
      </c>
      <c r="F655" s="29">
        <v>49</v>
      </c>
      <c r="G655" s="29">
        <v>0</v>
      </c>
      <c r="H655" s="29">
        <f>F655*AO655</f>
        <v>0</v>
      </c>
      <c r="I655" s="29">
        <f>F655*AP655</f>
        <v>0</v>
      </c>
      <c r="J655" s="29">
        <f>F655*G655</f>
        <v>0</v>
      </c>
      <c r="K655" s="30" t="s">
        <v>351</v>
      </c>
      <c r="Z655" s="29">
        <f>IF(AQ655="5",BJ655,0)</f>
        <v>0</v>
      </c>
      <c r="AB655" s="29">
        <f>IF(AQ655="1",BH655,0)</f>
        <v>0</v>
      </c>
      <c r="AC655" s="29">
        <f>IF(AQ655="1",BI655,0)</f>
        <v>0</v>
      </c>
      <c r="AD655" s="29">
        <f>IF(AQ655="7",BH655,0)</f>
        <v>0</v>
      </c>
      <c r="AE655" s="29">
        <f>IF(AQ655="7",BI655,0)</f>
        <v>0</v>
      </c>
      <c r="AF655" s="29">
        <f>IF(AQ655="2",BH655,0)</f>
        <v>0</v>
      </c>
      <c r="AG655" s="29">
        <f>IF(AQ655="2",BI655,0)</f>
        <v>0</v>
      </c>
      <c r="AH655" s="29">
        <f>IF(AQ655="0",BJ655,0)</f>
        <v>0</v>
      </c>
      <c r="AI655" s="11" t="s">
        <v>1039</v>
      </c>
      <c r="AJ655" s="29">
        <f>IF(AN655=0,J655,0)</f>
        <v>0</v>
      </c>
      <c r="AK655" s="29">
        <f>IF(AN655=12,J655,0)</f>
        <v>0</v>
      </c>
      <c r="AL655" s="29">
        <f>IF(AN655=21,J655,0)</f>
        <v>0</v>
      </c>
      <c r="AN655" s="29">
        <v>21</v>
      </c>
      <c r="AO655" s="29">
        <f>G655*1</f>
        <v>0</v>
      </c>
      <c r="AP655" s="29">
        <f>G655*(1-1)</f>
        <v>0</v>
      </c>
      <c r="AQ655" s="31" t="s">
        <v>70</v>
      </c>
      <c r="AV655" s="29">
        <f>AW655+AX655</f>
        <v>0</v>
      </c>
      <c r="AW655" s="29">
        <f>F655*AO655</f>
        <v>0</v>
      </c>
      <c r="AX655" s="29">
        <f>F655*AP655</f>
        <v>0</v>
      </c>
      <c r="AY655" s="31" t="s">
        <v>1119</v>
      </c>
      <c r="AZ655" s="31" t="s">
        <v>1114</v>
      </c>
      <c r="BA655" s="11" t="s">
        <v>1044</v>
      </c>
      <c r="BC655" s="29">
        <f>AW655+AX655</f>
        <v>0</v>
      </c>
      <c r="BD655" s="29">
        <f>G655/(100-BE655)*100</f>
        <v>0</v>
      </c>
      <c r="BE655" s="29">
        <v>0</v>
      </c>
      <c r="BF655" s="29">
        <f>655</f>
        <v>655</v>
      </c>
      <c r="BH655" s="29">
        <f>F655*AO655</f>
        <v>0</v>
      </c>
      <c r="BI655" s="29">
        <f>F655*AP655</f>
        <v>0</v>
      </c>
      <c r="BJ655" s="29">
        <f>F655*G655</f>
        <v>0</v>
      </c>
      <c r="BK655" s="29"/>
      <c r="BL655" s="29"/>
      <c r="BW655" s="29">
        <v>21</v>
      </c>
      <c r="BX655" s="5" t="s">
        <v>1127</v>
      </c>
    </row>
    <row r="656" spans="1:76" ht="14.4" x14ac:dyDescent="0.3">
      <c r="A656" s="2" t="s">
        <v>1128</v>
      </c>
      <c r="B656" s="3" t="s">
        <v>1129</v>
      </c>
      <c r="C656" s="87" t="s">
        <v>1130</v>
      </c>
      <c r="D656" s="84"/>
      <c r="E656" s="3" t="s">
        <v>1022</v>
      </c>
      <c r="F656" s="29">
        <v>1</v>
      </c>
      <c r="G656" s="29">
        <v>0</v>
      </c>
      <c r="H656" s="29">
        <f>F656*AO656</f>
        <v>0</v>
      </c>
      <c r="I656" s="29">
        <f>F656*AP656</f>
        <v>0</v>
      </c>
      <c r="J656" s="29">
        <f>F656*G656</f>
        <v>0</v>
      </c>
      <c r="K656" s="30" t="s">
        <v>351</v>
      </c>
      <c r="Z656" s="29">
        <f>IF(AQ656="5",BJ656,0)</f>
        <v>0</v>
      </c>
      <c r="AB656" s="29">
        <f>IF(AQ656="1",BH656,0)</f>
        <v>0</v>
      </c>
      <c r="AC656" s="29">
        <f>IF(AQ656="1",BI656,0)</f>
        <v>0</v>
      </c>
      <c r="AD656" s="29">
        <f>IF(AQ656="7",BH656,0)</f>
        <v>0</v>
      </c>
      <c r="AE656" s="29">
        <f>IF(AQ656="7",BI656,0)</f>
        <v>0</v>
      </c>
      <c r="AF656" s="29">
        <f>IF(AQ656="2",BH656,0)</f>
        <v>0</v>
      </c>
      <c r="AG656" s="29">
        <f>IF(AQ656="2",BI656,0)</f>
        <v>0</v>
      </c>
      <c r="AH656" s="29">
        <f>IF(AQ656="0",BJ656,0)</f>
        <v>0</v>
      </c>
      <c r="AI656" s="11" t="s">
        <v>1039</v>
      </c>
      <c r="AJ656" s="29">
        <f>IF(AN656=0,J656,0)</f>
        <v>0</v>
      </c>
      <c r="AK656" s="29">
        <f>IF(AN656=12,J656,0)</f>
        <v>0</v>
      </c>
      <c r="AL656" s="29">
        <f>IF(AN656=21,J656,0)</f>
        <v>0</v>
      </c>
      <c r="AN656" s="29">
        <v>21</v>
      </c>
      <c r="AO656" s="29">
        <f>G656*0.104895105</f>
        <v>0</v>
      </c>
      <c r="AP656" s="29">
        <f>G656*(1-0.104895105)</f>
        <v>0</v>
      </c>
      <c r="AQ656" s="31" t="s">
        <v>70</v>
      </c>
      <c r="AV656" s="29">
        <f>AW656+AX656</f>
        <v>0</v>
      </c>
      <c r="AW656" s="29">
        <f>F656*AO656</f>
        <v>0</v>
      </c>
      <c r="AX656" s="29">
        <f>F656*AP656</f>
        <v>0</v>
      </c>
      <c r="AY656" s="31" t="s">
        <v>1119</v>
      </c>
      <c r="AZ656" s="31" t="s">
        <v>1114</v>
      </c>
      <c r="BA656" s="11" t="s">
        <v>1044</v>
      </c>
      <c r="BC656" s="29">
        <f>AW656+AX656</f>
        <v>0</v>
      </c>
      <c r="BD656" s="29">
        <f>G656/(100-BE656)*100</f>
        <v>0</v>
      </c>
      <c r="BE656" s="29">
        <v>0</v>
      </c>
      <c r="BF656" s="29">
        <f>656</f>
        <v>656</v>
      </c>
      <c r="BH656" s="29">
        <f>F656*AO656</f>
        <v>0</v>
      </c>
      <c r="BI656" s="29">
        <f>F656*AP656</f>
        <v>0</v>
      </c>
      <c r="BJ656" s="29">
        <f>F656*G656</f>
        <v>0</v>
      </c>
      <c r="BK656" s="29"/>
      <c r="BL656" s="29"/>
      <c r="BW656" s="29">
        <v>21</v>
      </c>
      <c r="BX656" s="5" t="s">
        <v>1130</v>
      </c>
    </row>
    <row r="657" spans="1:76" ht="14.4" x14ac:dyDescent="0.3">
      <c r="A657" s="25" t="s">
        <v>51</v>
      </c>
      <c r="B657" s="26" t="s">
        <v>1131</v>
      </c>
      <c r="C657" s="143" t="s">
        <v>1132</v>
      </c>
      <c r="D657" s="144"/>
      <c r="E657" s="27" t="s">
        <v>4</v>
      </c>
      <c r="F657" s="27" t="s">
        <v>4</v>
      </c>
      <c r="G657" s="27" t="s">
        <v>4</v>
      </c>
      <c r="H657" s="1">
        <f>SUM(H658:H659)</f>
        <v>0</v>
      </c>
      <c r="I657" s="1">
        <f>SUM(I658:I659)</f>
        <v>0</v>
      </c>
      <c r="J657" s="1">
        <f>SUM(J658:J659)</f>
        <v>0</v>
      </c>
      <c r="K657" s="28" t="s">
        <v>51</v>
      </c>
      <c r="AI657" s="11" t="s">
        <v>1039</v>
      </c>
      <c r="AS657" s="1">
        <f>SUM(AJ658:AJ659)</f>
        <v>0</v>
      </c>
      <c r="AT657" s="1">
        <f>SUM(AK658:AK659)</f>
        <v>0</v>
      </c>
      <c r="AU657" s="1">
        <f>SUM(AL658:AL659)</f>
        <v>0</v>
      </c>
    </row>
    <row r="658" spans="1:76" ht="14.4" x14ac:dyDescent="0.3">
      <c r="A658" s="2" t="s">
        <v>1133</v>
      </c>
      <c r="B658" s="3" t="s">
        <v>1087</v>
      </c>
      <c r="C658" s="87" t="s">
        <v>1134</v>
      </c>
      <c r="D658" s="84"/>
      <c r="E658" s="3" t="s">
        <v>249</v>
      </c>
      <c r="F658" s="29">
        <v>9</v>
      </c>
      <c r="G658" s="29">
        <v>0</v>
      </c>
      <c r="H658" s="29">
        <f>F658*AO658</f>
        <v>0</v>
      </c>
      <c r="I658" s="29">
        <f>F658*AP658</f>
        <v>0</v>
      </c>
      <c r="J658" s="29">
        <f>F658*G658</f>
        <v>0</v>
      </c>
      <c r="K658" s="30" t="s">
        <v>60</v>
      </c>
      <c r="Z658" s="29">
        <f>IF(AQ658="5",BJ658,0)</f>
        <v>0</v>
      </c>
      <c r="AB658" s="29">
        <f>IF(AQ658="1",BH658,0)</f>
        <v>0</v>
      </c>
      <c r="AC658" s="29">
        <f>IF(AQ658="1",BI658,0)</f>
        <v>0</v>
      </c>
      <c r="AD658" s="29">
        <f>IF(AQ658="7",BH658,0)</f>
        <v>0</v>
      </c>
      <c r="AE658" s="29">
        <f>IF(AQ658="7",BI658,0)</f>
        <v>0</v>
      </c>
      <c r="AF658" s="29">
        <f>IF(AQ658="2",BH658,0)</f>
        <v>0</v>
      </c>
      <c r="AG658" s="29">
        <f>IF(AQ658="2",BI658,0)</f>
        <v>0</v>
      </c>
      <c r="AH658" s="29">
        <f>IF(AQ658="0",BJ658,0)</f>
        <v>0</v>
      </c>
      <c r="AI658" s="11" t="s">
        <v>1039</v>
      </c>
      <c r="AJ658" s="29">
        <f>IF(AN658=0,J658,0)</f>
        <v>0</v>
      </c>
      <c r="AK658" s="29">
        <f>IF(AN658=12,J658,0)</f>
        <v>0</v>
      </c>
      <c r="AL658" s="29">
        <f>IF(AN658=21,J658,0)</f>
        <v>0</v>
      </c>
      <c r="AN658" s="29">
        <v>21</v>
      </c>
      <c r="AO658" s="29">
        <f>G658*0</f>
        <v>0</v>
      </c>
      <c r="AP658" s="29">
        <f>G658*(1-0)</f>
        <v>0</v>
      </c>
      <c r="AQ658" s="31" t="s">
        <v>70</v>
      </c>
      <c r="AV658" s="29">
        <f>AW658+AX658</f>
        <v>0</v>
      </c>
      <c r="AW658" s="29">
        <f>F658*AO658</f>
        <v>0</v>
      </c>
      <c r="AX658" s="29">
        <f>F658*AP658</f>
        <v>0</v>
      </c>
      <c r="AY658" s="31" t="s">
        <v>1135</v>
      </c>
      <c r="AZ658" s="31" t="s">
        <v>1114</v>
      </c>
      <c r="BA658" s="11" t="s">
        <v>1044</v>
      </c>
      <c r="BC658" s="29">
        <f>AW658+AX658</f>
        <v>0</v>
      </c>
      <c r="BD658" s="29">
        <f>G658/(100-BE658)*100</f>
        <v>0</v>
      </c>
      <c r="BE658" s="29">
        <v>0</v>
      </c>
      <c r="BF658" s="29">
        <f>658</f>
        <v>658</v>
      </c>
      <c r="BH658" s="29">
        <f>F658*AO658</f>
        <v>0</v>
      </c>
      <c r="BI658" s="29">
        <f>F658*AP658</f>
        <v>0</v>
      </c>
      <c r="BJ658" s="29">
        <f>F658*G658</f>
        <v>0</v>
      </c>
      <c r="BK658" s="29"/>
      <c r="BL658" s="29"/>
      <c r="BW658" s="29">
        <v>21</v>
      </c>
      <c r="BX658" s="5" t="s">
        <v>1134</v>
      </c>
    </row>
    <row r="659" spans="1:76" ht="14.4" x14ac:dyDescent="0.3">
      <c r="A659" s="2" t="s">
        <v>1136</v>
      </c>
      <c r="B659" s="3" t="s">
        <v>1087</v>
      </c>
      <c r="C659" s="87" t="s">
        <v>1137</v>
      </c>
      <c r="D659" s="84"/>
      <c r="E659" s="3" t="s">
        <v>249</v>
      </c>
      <c r="F659" s="29">
        <v>6</v>
      </c>
      <c r="G659" s="29">
        <v>0</v>
      </c>
      <c r="H659" s="29">
        <f>F659*AO659</f>
        <v>0</v>
      </c>
      <c r="I659" s="29">
        <f>F659*AP659</f>
        <v>0</v>
      </c>
      <c r="J659" s="29">
        <f>F659*G659</f>
        <v>0</v>
      </c>
      <c r="K659" s="30" t="s">
        <v>60</v>
      </c>
      <c r="Z659" s="29">
        <f>IF(AQ659="5",BJ659,0)</f>
        <v>0</v>
      </c>
      <c r="AB659" s="29">
        <f>IF(AQ659="1",BH659,0)</f>
        <v>0</v>
      </c>
      <c r="AC659" s="29">
        <f>IF(AQ659="1",BI659,0)</f>
        <v>0</v>
      </c>
      <c r="AD659" s="29">
        <f>IF(AQ659="7",BH659,0)</f>
        <v>0</v>
      </c>
      <c r="AE659" s="29">
        <f>IF(AQ659="7",BI659,0)</f>
        <v>0</v>
      </c>
      <c r="AF659" s="29">
        <f>IF(AQ659="2",BH659,0)</f>
        <v>0</v>
      </c>
      <c r="AG659" s="29">
        <f>IF(AQ659="2",BI659,0)</f>
        <v>0</v>
      </c>
      <c r="AH659" s="29">
        <f>IF(AQ659="0",BJ659,0)</f>
        <v>0</v>
      </c>
      <c r="AI659" s="11" t="s">
        <v>1039</v>
      </c>
      <c r="AJ659" s="29">
        <f>IF(AN659=0,J659,0)</f>
        <v>0</v>
      </c>
      <c r="AK659" s="29">
        <f>IF(AN659=12,J659,0)</f>
        <v>0</v>
      </c>
      <c r="AL659" s="29">
        <f>IF(AN659=21,J659,0)</f>
        <v>0</v>
      </c>
      <c r="AN659" s="29">
        <v>21</v>
      </c>
      <c r="AO659" s="29">
        <f>G659*0.571428571</f>
        <v>0</v>
      </c>
      <c r="AP659" s="29">
        <f>G659*(1-0.571428571)</f>
        <v>0</v>
      </c>
      <c r="AQ659" s="31" t="s">
        <v>70</v>
      </c>
      <c r="AV659" s="29">
        <f>AW659+AX659</f>
        <v>0</v>
      </c>
      <c r="AW659" s="29">
        <f>F659*AO659</f>
        <v>0</v>
      </c>
      <c r="AX659" s="29">
        <f>F659*AP659</f>
        <v>0</v>
      </c>
      <c r="AY659" s="31" t="s">
        <v>1135</v>
      </c>
      <c r="AZ659" s="31" t="s">
        <v>1114</v>
      </c>
      <c r="BA659" s="11" t="s">
        <v>1044</v>
      </c>
      <c r="BC659" s="29">
        <f>AW659+AX659</f>
        <v>0</v>
      </c>
      <c r="BD659" s="29">
        <f>G659/(100-BE659)*100</f>
        <v>0</v>
      </c>
      <c r="BE659" s="29">
        <v>0</v>
      </c>
      <c r="BF659" s="29">
        <f>659</f>
        <v>659</v>
      </c>
      <c r="BH659" s="29">
        <f>F659*AO659</f>
        <v>0</v>
      </c>
      <c r="BI659" s="29">
        <f>F659*AP659</f>
        <v>0</v>
      </c>
      <c r="BJ659" s="29">
        <f>F659*G659</f>
        <v>0</v>
      </c>
      <c r="BK659" s="29"/>
      <c r="BL659" s="29"/>
      <c r="BW659" s="29">
        <v>21</v>
      </c>
      <c r="BX659" s="5" t="s">
        <v>1137</v>
      </c>
    </row>
    <row r="660" spans="1:76" ht="14.4" x14ac:dyDescent="0.3">
      <c r="A660" s="25" t="s">
        <v>51</v>
      </c>
      <c r="B660" s="26" t="s">
        <v>1138</v>
      </c>
      <c r="C660" s="143" t="s">
        <v>1139</v>
      </c>
      <c r="D660" s="144"/>
      <c r="E660" s="27" t="s">
        <v>4</v>
      </c>
      <c r="F660" s="27" t="s">
        <v>4</v>
      </c>
      <c r="G660" s="27" t="s">
        <v>4</v>
      </c>
      <c r="H660" s="1">
        <f>SUM(H661:H661)</f>
        <v>0</v>
      </c>
      <c r="I660" s="1">
        <f>SUM(I661:I661)</f>
        <v>0</v>
      </c>
      <c r="J660" s="1">
        <f>SUM(J661:J661)</f>
        <v>0</v>
      </c>
      <c r="K660" s="28" t="s">
        <v>51</v>
      </c>
      <c r="AI660" s="11" t="s">
        <v>1039</v>
      </c>
      <c r="AS660" s="1">
        <f>SUM(AJ661:AJ661)</f>
        <v>0</v>
      </c>
      <c r="AT660" s="1">
        <f>SUM(AK661:AK661)</f>
        <v>0</v>
      </c>
      <c r="AU660" s="1">
        <f>SUM(AL661:AL661)</f>
        <v>0</v>
      </c>
    </row>
    <row r="661" spans="1:76" ht="14.4" x14ac:dyDescent="0.3">
      <c r="A661" s="2" t="s">
        <v>1140</v>
      </c>
      <c r="B661" s="3" t="s">
        <v>1141</v>
      </c>
      <c r="C661" s="87" t="s">
        <v>1142</v>
      </c>
      <c r="D661" s="84"/>
      <c r="E661" s="3" t="s">
        <v>103</v>
      </c>
      <c r="F661" s="29">
        <v>13</v>
      </c>
      <c r="G661" s="29">
        <v>0</v>
      </c>
      <c r="H661" s="29">
        <f>F661*AO661</f>
        <v>0</v>
      </c>
      <c r="I661" s="29">
        <f>F661*AP661</f>
        <v>0</v>
      </c>
      <c r="J661" s="29">
        <f>F661*G661</f>
        <v>0</v>
      </c>
      <c r="K661" s="30" t="s">
        <v>60</v>
      </c>
      <c r="Z661" s="29">
        <f>IF(AQ661="5",BJ661,0)</f>
        <v>0</v>
      </c>
      <c r="AB661" s="29">
        <f>IF(AQ661="1",BH661,0)</f>
        <v>0</v>
      </c>
      <c r="AC661" s="29">
        <f>IF(AQ661="1",BI661,0)</f>
        <v>0</v>
      </c>
      <c r="AD661" s="29">
        <f>IF(AQ661="7",BH661,0)</f>
        <v>0</v>
      </c>
      <c r="AE661" s="29">
        <f>IF(AQ661="7",BI661,0)</f>
        <v>0</v>
      </c>
      <c r="AF661" s="29">
        <f>IF(AQ661="2",BH661,0)</f>
        <v>0</v>
      </c>
      <c r="AG661" s="29">
        <f>IF(AQ661="2",BI661,0)</f>
        <v>0</v>
      </c>
      <c r="AH661" s="29">
        <f>IF(AQ661="0",BJ661,0)</f>
        <v>0</v>
      </c>
      <c r="AI661" s="11" t="s">
        <v>1039</v>
      </c>
      <c r="AJ661" s="29">
        <f>IF(AN661=0,J661,0)</f>
        <v>0</v>
      </c>
      <c r="AK661" s="29">
        <f>IF(AN661=12,J661,0)</f>
        <v>0</v>
      </c>
      <c r="AL661" s="29">
        <f>IF(AN661=21,J661,0)</f>
        <v>0</v>
      </c>
      <c r="AN661" s="29">
        <v>21</v>
      </c>
      <c r="AO661" s="29">
        <f>G661*0.755905512</f>
        <v>0</v>
      </c>
      <c r="AP661" s="29">
        <f>G661*(1-0.755905512)</f>
        <v>0</v>
      </c>
      <c r="AQ661" s="31" t="s">
        <v>70</v>
      </c>
      <c r="AV661" s="29">
        <f>AW661+AX661</f>
        <v>0</v>
      </c>
      <c r="AW661" s="29">
        <f>F661*AO661</f>
        <v>0</v>
      </c>
      <c r="AX661" s="29">
        <f>F661*AP661</f>
        <v>0</v>
      </c>
      <c r="AY661" s="31" t="s">
        <v>1143</v>
      </c>
      <c r="AZ661" s="31" t="s">
        <v>1114</v>
      </c>
      <c r="BA661" s="11" t="s">
        <v>1044</v>
      </c>
      <c r="BC661" s="29">
        <f>AW661+AX661</f>
        <v>0</v>
      </c>
      <c r="BD661" s="29">
        <f>G661/(100-BE661)*100</f>
        <v>0</v>
      </c>
      <c r="BE661" s="29">
        <v>0</v>
      </c>
      <c r="BF661" s="29">
        <f>661</f>
        <v>661</v>
      </c>
      <c r="BH661" s="29">
        <f>F661*AO661</f>
        <v>0</v>
      </c>
      <c r="BI661" s="29">
        <f>F661*AP661</f>
        <v>0</v>
      </c>
      <c r="BJ661" s="29">
        <f>F661*G661</f>
        <v>0</v>
      </c>
      <c r="BK661" s="29"/>
      <c r="BL661" s="29"/>
      <c r="BW661" s="29">
        <v>21</v>
      </c>
      <c r="BX661" s="5" t="s">
        <v>1142</v>
      </c>
    </row>
    <row r="662" spans="1:76" ht="14.4" x14ac:dyDescent="0.3">
      <c r="A662" s="25" t="s">
        <v>51</v>
      </c>
      <c r="B662" s="26" t="s">
        <v>1144</v>
      </c>
      <c r="C662" s="143" t="s">
        <v>1145</v>
      </c>
      <c r="D662" s="144"/>
      <c r="E662" s="27" t="s">
        <v>4</v>
      </c>
      <c r="F662" s="27" t="s">
        <v>4</v>
      </c>
      <c r="G662" s="27" t="s">
        <v>4</v>
      </c>
      <c r="H662" s="1">
        <f>SUM(H663:H676)</f>
        <v>0</v>
      </c>
      <c r="I662" s="1">
        <f>SUM(I663:I676)</f>
        <v>0</v>
      </c>
      <c r="J662" s="1">
        <f>SUM(J663:J676)</f>
        <v>0</v>
      </c>
      <c r="K662" s="28" t="s">
        <v>51</v>
      </c>
      <c r="AI662" s="11" t="s">
        <v>1039</v>
      </c>
      <c r="AS662" s="1">
        <f>SUM(AJ663:AJ676)</f>
        <v>0</v>
      </c>
      <c r="AT662" s="1">
        <f>SUM(AK663:AK676)</f>
        <v>0</v>
      </c>
      <c r="AU662" s="1">
        <f>SUM(AL663:AL676)</f>
        <v>0</v>
      </c>
    </row>
    <row r="663" spans="1:76" ht="14.4" x14ac:dyDescent="0.3">
      <c r="A663" s="2" t="s">
        <v>1146</v>
      </c>
      <c r="B663" s="3" t="s">
        <v>1147</v>
      </c>
      <c r="C663" s="87" t="s">
        <v>1148</v>
      </c>
      <c r="D663" s="84"/>
      <c r="E663" s="3" t="s">
        <v>73</v>
      </c>
      <c r="F663" s="29">
        <v>320</v>
      </c>
      <c r="G663" s="29">
        <v>0</v>
      </c>
      <c r="H663" s="29">
        <f>F663*AO663</f>
        <v>0</v>
      </c>
      <c r="I663" s="29">
        <f>F663*AP663</f>
        <v>0</v>
      </c>
      <c r="J663" s="29">
        <f>F663*G663</f>
        <v>0</v>
      </c>
      <c r="K663" s="30" t="s">
        <v>60</v>
      </c>
      <c r="Z663" s="29">
        <f>IF(AQ663="5",BJ663,0)</f>
        <v>0</v>
      </c>
      <c r="AB663" s="29">
        <f>IF(AQ663="1",BH663,0)</f>
        <v>0</v>
      </c>
      <c r="AC663" s="29">
        <f>IF(AQ663="1",BI663,0)</f>
        <v>0</v>
      </c>
      <c r="AD663" s="29">
        <f>IF(AQ663="7",BH663,0)</f>
        <v>0</v>
      </c>
      <c r="AE663" s="29">
        <f>IF(AQ663="7",BI663,0)</f>
        <v>0</v>
      </c>
      <c r="AF663" s="29">
        <f>IF(AQ663="2",BH663,0)</f>
        <v>0</v>
      </c>
      <c r="AG663" s="29">
        <f>IF(AQ663="2",BI663,0)</f>
        <v>0</v>
      </c>
      <c r="AH663" s="29">
        <f>IF(AQ663="0",BJ663,0)</f>
        <v>0</v>
      </c>
      <c r="AI663" s="11" t="s">
        <v>1039</v>
      </c>
      <c r="AJ663" s="29">
        <f>IF(AN663=0,J663,0)</f>
        <v>0</v>
      </c>
      <c r="AK663" s="29">
        <f>IF(AN663=12,J663,0)</f>
        <v>0</v>
      </c>
      <c r="AL663" s="29">
        <f>IF(AN663=21,J663,0)</f>
        <v>0</v>
      </c>
      <c r="AN663" s="29">
        <v>21</v>
      </c>
      <c r="AO663" s="29">
        <f>G663*0.293877551</f>
        <v>0</v>
      </c>
      <c r="AP663" s="29">
        <f>G663*(1-0.293877551)</f>
        <v>0</v>
      </c>
      <c r="AQ663" s="31" t="s">
        <v>70</v>
      </c>
      <c r="AV663" s="29">
        <f>AW663+AX663</f>
        <v>0</v>
      </c>
      <c r="AW663" s="29">
        <f>F663*AO663</f>
        <v>0</v>
      </c>
      <c r="AX663" s="29">
        <f>F663*AP663</f>
        <v>0</v>
      </c>
      <c r="AY663" s="31" t="s">
        <v>1149</v>
      </c>
      <c r="AZ663" s="31" t="s">
        <v>1114</v>
      </c>
      <c r="BA663" s="11" t="s">
        <v>1044</v>
      </c>
      <c r="BC663" s="29">
        <f>AW663+AX663</f>
        <v>0</v>
      </c>
      <c r="BD663" s="29">
        <f>G663/(100-BE663)*100</f>
        <v>0</v>
      </c>
      <c r="BE663" s="29">
        <v>0</v>
      </c>
      <c r="BF663" s="29">
        <f>663</f>
        <v>663</v>
      </c>
      <c r="BH663" s="29">
        <f>F663*AO663</f>
        <v>0</v>
      </c>
      <c r="BI663" s="29">
        <f>F663*AP663</f>
        <v>0</v>
      </c>
      <c r="BJ663" s="29">
        <f>F663*G663</f>
        <v>0</v>
      </c>
      <c r="BK663" s="29"/>
      <c r="BL663" s="29"/>
      <c r="BW663" s="29">
        <v>21</v>
      </c>
      <c r="BX663" s="5" t="s">
        <v>1148</v>
      </c>
    </row>
    <row r="664" spans="1:76" ht="14.4" x14ac:dyDescent="0.3">
      <c r="A664" s="32"/>
      <c r="C664" s="33" t="s">
        <v>1150</v>
      </c>
      <c r="D664" s="33" t="s">
        <v>51</v>
      </c>
      <c r="F664" s="34">
        <v>320</v>
      </c>
      <c r="K664" s="35"/>
    </row>
    <row r="665" spans="1:76" ht="14.4" x14ac:dyDescent="0.3">
      <c r="A665" s="2" t="s">
        <v>1151</v>
      </c>
      <c r="B665" s="3" t="s">
        <v>1152</v>
      </c>
      <c r="C665" s="87" t="s">
        <v>1153</v>
      </c>
      <c r="D665" s="84"/>
      <c r="E665" s="3" t="s">
        <v>73</v>
      </c>
      <c r="F665" s="29">
        <v>100</v>
      </c>
      <c r="G665" s="29">
        <v>0</v>
      </c>
      <c r="H665" s="29">
        <f>F665*AO665</f>
        <v>0</v>
      </c>
      <c r="I665" s="29">
        <f>F665*AP665</f>
        <v>0</v>
      </c>
      <c r="J665" s="29">
        <f>F665*G665</f>
        <v>0</v>
      </c>
      <c r="K665" s="30" t="s">
        <v>250</v>
      </c>
      <c r="Z665" s="29">
        <f>IF(AQ665="5",BJ665,0)</f>
        <v>0</v>
      </c>
      <c r="AB665" s="29">
        <f>IF(AQ665="1",BH665,0)</f>
        <v>0</v>
      </c>
      <c r="AC665" s="29">
        <f>IF(AQ665="1",BI665,0)</f>
        <v>0</v>
      </c>
      <c r="AD665" s="29">
        <f>IF(AQ665="7",BH665,0)</f>
        <v>0</v>
      </c>
      <c r="AE665" s="29">
        <f>IF(AQ665="7",BI665,0)</f>
        <v>0</v>
      </c>
      <c r="AF665" s="29">
        <f>IF(AQ665="2",BH665,0)</f>
        <v>0</v>
      </c>
      <c r="AG665" s="29">
        <f>IF(AQ665="2",BI665,0)</f>
        <v>0</v>
      </c>
      <c r="AH665" s="29">
        <f>IF(AQ665="0",BJ665,0)</f>
        <v>0</v>
      </c>
      <c r="AI665" s="11" t="s">
        <v>1039</v>
      </c>
      <c r="AJ665" s="29">
        <f>IF(AN665=0,J665,0)</f>
        <v>0</v>
      </c>
      <c r="AK665" s="29">
        <f>IF(AN665=12,J665,0)</f>
        <v>0</v>
      </c>
      <c r="AL665" s="29">
        <f>IF(AN665=21,J665,0)</f>
        <v>0</v>
      </c>
      <c r="AN665" s="29">
        <v>21</v>
      </c>
      <c r="AO665" s="29">
        <f>G665*1</f>
        <v>0</v>
      </c>
      <c r="AP665" s="29">
        <f>G665*(1-1)</f>
        <v>0</v>
      </c>
      <c r="AQ665" s="31" t="s">
        <v>56</v>
      </c>
      <c r="AV665" s="29">
        <f>AW665+AX665</f>
        <v>0</v>
      </c>
      <c r="AW665" s="29">
        <f>F665*AO665</f>
        <v>0</v>
      </c>
      <c r="AX665" s="29">
        <f>F665*AP665</f>
        <v>0</v>
      </c>
      <c r="AY665" s="31" t="s">
        <v>1149</v>
      </c>
      <c r="AZ665" s="31" t="s">
        <v>1114</v>
      </c>
      <c r="BA665" s="11" t="s">
        <v>1044</v>
      </c>
      <c r="BC665" s="29">
        <f>AW665+AX665</f>
        <v>0</v>
      </c>
      <c r="BD665" s="29">
        <f>G665/(100-BE665)*100</f>
        <v>0</v>
      </c>
      <c r="BE665" s="29">
        <v>0</v>
      </c>
      <c r="BF665" s="29">
        <f>665</f>
        <v>665</v>
      </c>
      <c r="BH665" s="29">
        <f>F665*AO665</f>
        <v>0</v>
      </c>
      <c r="BI665" s="29">
        <f>F665*AP665</f>
        <v>0</v>
      </c>
      <c r="BJ665" s="29">
        <f>F665*G665</f>
        <v>0</v>
      </c>
      <c r="BK665" s="29"/>
      <c r="BL665" s="29"/>
      <c r="BW665" s="29">
        <v>21</v>
      </c>
      <c r="BX665" s="5" t="s">
        <v>1153</v>
      </c>
    </row>
    <row r="666" spans="1:76" ht="14.4" x14ac:dyDescent="0.3">
      <c r="A666" s="2" t="s">
        <v>1154</v>
      </c>
      <c r="B666" s="3" t="s">
        <v>1155</v>
      </c>
      <c r="C666" s="87" t="s">
        <v>1156</v>
      </c>
      <c r="D666" s="84"/>
      <c r="E666" s="3" t="s">
        <v>73</v>
      </c>
      <c r="F666" s="29">
        <v>220</v>
      </c>
      <c r="G666" s="29">
        <v>0</v>
      </c>
      <c r="H666" s="29">
        <f>F666*AO666</f>
        <v>0</v>
      </c>
      <c r="I666" s="29">
        <f>F666*AP666</f>
        <v>0</v>
      </c>
      <c r="J666" s="29">
        <f>F666*G666</f>
        <v>0</v>
      </c>
      <c r="K666" s="30" t="s">
        <v>250</v>
      </c>
      <c r="Z666" s="29">
        <f>IF(AQ666="5",BJ666,0)</f>
        <v>0</v>
      </c>
      <c r="AB666" s="29">
        <f>IF(AQ666="1",BH666,0)</f>
        <v>0</v>
      </c>
      <c r="AC666" s="29">
        <f>IF(AQ666="1",BI666,0)</f>
        <v>0</v>
      </c>
      <c r="AD666" s="29">
        <f>IF(AQ666="7",BH666,0)</f>
        <v>0</v>
      </c>
      <c r="AE666" s="29">
        <f>IF(AQ666="7",BI666,0)</f>
        <v>0</v>
      </c>
      <c r="AF666" s="29">
        <f>IF(AQ666="2",BH666,0)</f>
        <v>0</v>
      </c>
      <c r="AG666" s="29">
        <f>IF(AQ666="2",BI666,0)</f>
        <v>0</v>
      </c>
      <c r="AH666" s="29">
        <f>IF(AQ666="0",BJ666,0)</f>
        <v>0</v>
      </c>
      <c r="AI666" s="11" t="s">
        <v>1039</v>
      </c>
      <c r="AJ666" s="29">
        <f>IF(AN666=0,J666,0)</f>
        <v>0</v>
      </c>
      <c r="AK666" s="29">
        <f>IF(AN666=12,J666,0)</f>
        <v>0</v>
      </c>
      <c r="AL666" s="29">
        <f>IF(AN666=21,J666,0)</f>
        <v>0</v>
      </c>
      <c r="AN666" s="29">
        <v>21</v>
      </c>
      <c r="AO666" s="29">
        <f>G666*1</f>
        <v>0</v>
      </c>
      <c r="AP666" s="29">
        <f>G666*(1-1)</f>
        <v>0</v>
      </c>
      <c r="AQ666" s="31" t="s">
        <v>56</v>
      </c>
      <c r="AV666" s="29">
        <f>AW666+AX666</f>
        <v>0</v>
      </c>
      <c r="AW666" s="29">
        <f>F666*AO666</f>
        <v>0</v>
      </c>
      <c r="AX666" s="29">
        <f>F666*AP666</f>
        <v>0</v>
      </c>
      <c r="AY666" s="31" t="s">
        <v>1149</v>
      </c>
      <c r="AZ666" s="31" t="s">
        <v>1114</v>
      </c>
      <c r="BA666" s="11" t="s">
        <v>1044</v>
      </c>
      <c r="BC666" s="29">
        <f>AW666+AX666</f>
        <v>0</v>
      </c>
      <c r="BD666" s="29">
        <f>G666/(100-BE666)*100</f>
        <v>0</v>
      </c>
      <c r="BE666" s="29">
        <v>0</v>
      </c>
      <c r="BF666" s="29">
        <f>666</f>
        <v>666</v>
      </c>
      <c r="BH666" s="29">
        <f>F666*AO666</f>
        <v>0</v>
      </c>
      <c r="BI666" s="29">
        <f>F666*AP666</f>
        <v>0</v>
      </c>
      <c r="BJ666" s="29">
        <f>F666*G666</f>
        <v>0</v>
      </c>
      <c r="BK666" s="29"/>
      <c r="BL666" s="29"/>
      <c r="BW666" s="29">
        <v>21</v>
      </c>
      <c r="BX666" s="5" t="s">
        <v>1156</v>
      </c>
    </row>
    <row r="667" spans="1:76" ht="14.4" x14ac:dyDescent="0.3">
      <c r="A667" s="2" t="s">
        <v>1157</v>
      </c>
      <c r="B667" s="3" t="s">
        <v>1158</v>
      </c>
      <c r="C667" s="87" t="s">
        <v>1159</v>
      </c>
      <c r="D667" s="84"/>
      <c r="E667" s="3" t="s">
        <v>73</v>
      </c>
      <c r="F667" s="29">
        <v>50</v>
      </c>
      <c r="G667" s="29">
        <v>0</v>
      </c>
      <c r="H667" s="29">
        <f>F667*AO667</f>
        <v>0</v>
      </c>
      <c r="I667" s="29">
        <f>F667*AP667</f>
        <v>0</v>
      </c>
      <c r="J667" s="29">
        <f>F667*G667</f>
        <v>0</v>
      </c>
      <c r="K667" s="30" t="s">
        <v>60</v>
      </c>
      <c r="Z667" s="29">
        <f>IF(AQ667="5",BJ667,0)</f>
        <v>0</v>
      </c>
      <c r="AB667" s="29">
        <f>IF(AQ667="1",BH667,0)</f>
        <v>0</v>
      </c>
      <c r="AC667" s="29">
        <f>IF(AQ667="1",BI667,0)</f>
        <v>0</v>
      </c>
      <c r="AD667" s="29">
        <f>IF(AQ667="7",BH667,0)</f>
        <v>0</v>
      </c>
      <c r="AE667" s="29">
        <f>IF(AQ667="7",BI667,0)</f>
        <v>0</v>
      </c>
      <c r="AF667" s="29">
        <f>IF(AQ667="2",BH667,0)</f>
        <v>0</v>
      </c>
      <c r="AG667" s="29">
        <f>IF(AQ667="2",BI667,0)</f>
        <v>0</v>
      </c>
      <c r="AH667" s="29">
        <f>IF(AQ667="0",BJ667,0)</f>
        <v>0</v>
      </c>
      <c r="AI667" s="11" t="s">
        <v>1039</v>
      </c>
      <c r="AJ667" s="29">
        <f>IF(AN667=0,J667,0)</f>
        <v>0</v>
      </c>
      <c r="AK667" s="29">
        <f>IF(AN667=12,J667,0)</f>
        <v>0</v>
      </c>
      <c r="AL667" s="29">
        <f>IF(AN667=21,J667,0)</f>
        <v>0</v>
      </c>
      <c r="AN667" s="29">
        <v>21</v>
      </c>
      <c r="AO667" s="29">
        <f>G667*0.58</f>
        <v>0</v>
      </c>
      <c r="AP667" s="29">
        <f>G667*(1-0.58)</f>
        <v>0</v>
      </c>
      <c r="AQ667" s="31" t="s">
        <v>70</v>
      </c>
      <c r="AV667" s="29">
        <f>AW667+AX667</f>
        <v>0</v>
      </c>
      <c r="AW667" s="29">
        <f>F667*AO667</f>
        <v>0</v>
      </c>
      <c r="AX667" s="29">
        <f>F667*AP667</f>
        <v>0</v>
      </c>
      <c r="AY667" s="31" t="s">
        <v>1149</v>
      </c>
      <c r="AZ667" s="31" t="s">
        <v>1114</v>
      </c>
      <c r="BA667" s="11" t="s">
        <v>1044</v>
      </c>
      <c r="BC667" s="29">
        <f>AW667+AX667</f>
        <v>0</v>
      </c>
      <c r="BD667" s="29">
        <f>G667/(100-BE667)*100</f>
        <v>0</v>
      </c>
      <c r="BE667" s="29">
        <v>0</v>
      </c>
      <c r="BF667" s="29">
        <f>667</f>
        <v>667</v>
      </c>
      <c r="BH667" s="29">
        <f>F667*AO667</f>
        <v>0</v>
      </c>
      <c r="BI667" s="29">
        <f>F667*AP667</f>
        <v>0</v>
      </c>
      <c r="BJ667" s="29">
        <f>F667*G667</f>
        <v>0</v>
      </c>
      <c r="BK667" s="29"/>
      <c r="BL667" s="29"/>
      <c r="BW667" s="29">
        <v>21</v>
      </c>
      <c r="BX667" s="5" t="s">
        <v>1159</v>
      </c>
    </row>
    <row r="668" spans="1:76" ht="14.4" x14ac:dyDescent="0.3">
      <c r="A668" s="32"/>
      <c r="C668" s="33" t="s">
        <v>355</v>
      </c>
      <c r="D668" s="33" t="s">
        <v>51</v>
      </c>
      <c r="F668" s="34">
        <v>50</v>
      </c>
      <c r="K668" s="35"/>
    </row>
    <row r="669" spans="1:76" ht="14.4" x14ac:dyDescent="0.3">
      <c r="A669" s="2" t="s">
        <v>1160</v>
      </c>
      <c r="B669" s="3" t="s">
        <v>1161</v>
      </c>
      <c r="C669" s="87" t="s">
        <v>1162</v>
      </c>
      <c r="D669" s="84"/>
      <c r="E669" s="3" t="s">
        <v>73</v>
      </c>
      <c r="F669" s="29">
        <v>620</v>
      </c>
      <c r="G669" s="29">
        <v>0</v>
      </c>
      <c r="H669" s="29">
        <f t="shared" ref="H669:H676" si="22">F669*AO669</f>
        <v>0</v>
      </c>
      <c r="I669" s="29">
        <f t="shared" ref="I669:I676" si="23">F669*AP669</f>
        <v>0</v>
      </c>
      <c r="J669" s="29">
        <f t="shared" ref="J669:J676" si="24">F669*G669</f>
        <v>0</v>
      </c>
      <c r="K669" s="30" t="s">
        <v>60</v>
      </c>
      <c r="Z669" s="29">
        <f t="shared" ref="Z669:Z676" si="25">IF(AQ669="5",BJ669,0)</f>
        <v>0</v>
      </c>
      <c r="AB669" s="29">
        <f t="shared" ref="AB669:AB676" si="26">IF(AQ669="1",BH669,0)</f>
        <v>0</v>
      </c>
      <c r="AC669" s="29">
        <f t="shared" ref="AC669:AC676" si="27">IF(AQ669="1",BI669,0)</f>
        <v>0</v>
      </c>
      <c r="AD669" s="29">
        <f t="shared" ref="AD669:AD676" si="28">IF(AQ669="7",BH669,0)</f>
        <v>0</v>
      </c>
      <c r="AE669" s="29">
        <f t="shared" ref="AE669:AE676" si="29">IF(AQ669="7",BI669,0)</f>
        <v>0</v>
      </c>
      <c r="AF669" s="29">
        <f t="shared" ref="AF669:AF676" si="30">IF(AQ669="2",BH669,0)</f>
        <v>0</v>
      </c>
      <c r="AG669" s="29">
        <f t="shared" ref="AG669:AG676" si="31">IF(AQ669="2",BI669,0)</f>
        <v>0</v>
      </c>
      <c r="AH669" s="29">
        <f t="shared" ref="AH669:AH676" si="32">IF(AQ669="0",BJ669,0)</f>
        <v>0</v>
      </c>
      <c r="AI669" s="11" t="s">
        <v>1039</v>
      </c>
      <c r="AJ669" s="29">
        <f t="shared" ref="AJ669:AJ676" si="33">IF(AN669=0,J669,0)</f>
        <v>0</v>
      </c>
      <c r="AK669" s="29">
        <f t="shared" ref="AK669:AK676" si="34">IF(AN669=12,J669,0)</f>
        <v>0</v>
      </c>
      <c r="AL669" s="29">
        <f t="shared" ref="AL669:AL676" si="35">IF(AN669=21,J669,0)</f>
        <v>0</v>
      </c>
      <c r="AN669" s="29">
        <v>21</v>
      </c>
      <c r="AO669" s="29">
        <f>G669*0.763412051</f>
        <v>0</v>
      </c>
      <c r="AP669" s="29">
        <f>G669*(1-0.763412051)</f>
        <v>0</v>
      </c>
      <c r="AQ669" s="31" t="s">
        <v>70</v>
      </c>
      <c r="AV669" s="29">
        <f t="shared" ref="AV669:AV676" si="36">AW669+AX669</f>
        <v>0</v>
      </c>
      <c r="AW669" s="29">
        <f t="shared" ref="AW669:AW676" si="37">F669*AO669</f>
        <v>0</v>
      </c>
      <c r="AX669" s="29">
        <f t="shared" ref="AX669:AX676" si="38">F669*AP669</f>
        <v>0</v>
      </c>
      <c r="AY669" s="31" t="s">
        <v>1149</v>
      </c>
      <c r="AZ669" s="31" t="s">
        <v>1114</v>
      </c>
      <c r="BA669" s="11" t="s">
        <v>1044</v>
      </c>
      <c r="BC669" s="29">
        <f t="shared" ref="BC669:BC676" si="39">AW669+AX669</f>
        <v>0</v>
      </c>
      <c r="BD669" s="29">
        <f t="shared" ref="BD669:BD676" si="40">G669/(100-BE669)*100</f>
        <v>0</v>
      </c>
      <c r="BE669" s="29">
        <v>0</v>
      </c>
      <c r="BF669" s="29">
        <f>669</f>
        <v>669</v>
      </c>
      <c r="BH669" s="29">
        <f t="shared" ref="BH669:BH676" si="41">F669*AO669</f>
        <v>0</v>
      </c>
      <c r="BI669" s="29">
        <f t="shared" ref="BI669:BI676" si="42">F669*AP669</f>
        <v>0</v>
      </c>
      <c r="BJ669" s="29">
        <f t="shared" ref="BJ669:BJ676" si="43">F669*G669</f>
        <v>0</v>
      </c>
      <c r="BK669" s="29"/>
      <c r="BL669" s="29"/>
      <c r="BW669" s="29">
        <v>21</v>
      </c>
      <c r="BX669" s="5" t="s">
        <v>1162</v>
      </c>
    </row>
    <row r="670" spans="1:76" ht="14.4" x14ac:dyDescent="0.3">
      <c r="A670" s="2" t="s">
        <v>1163</v>
      </c>
      <c r="B670" s="3" t="s">
        <v>1164</v>
      </c>
      <c r="C670" s="87" t="s">
        <v>1165</v>
      </c>
      <c r="D670" s="84"/>
      <c r="E670" s="3" t="s">
        <v>73</v>
      </c>
      <c r="F670" s="29">
        <v>385</v>
      </c>
      <c r="G670" s="29">
        <v>0</v>
      </c>
      <c r="H670" s="29">
        <f t="shared" si="22"/>
        <v>0</v>
      </c>
      <c r="I670" s="29">
        <f t="shared" si="23"/>
        <v>0</v>
      </c>
      <c r="J670" s="29">
        <f t="shared" si="24"/>
        <v>0</v>
      </c>
      <c r="K670" s="30" t="s">
        <v>250</v>
      </c>
      <c r="Z670" s="29">
        <f t="shared" si="25"/>
        <v>0</v>
      </c>
      <c r="AB670" s="29">
        <f t="shared" si="26"/>
        <v>0</v>
      </c>
      <c r="AC670" s="29">
        <f t="shared" si="27"/>
        <v>0</v>
      </c>
      <c r="AD670" s="29">
        <f t="shared" si="28"/>
        <v>0</v>
      </c>
      <c r="AE670" s="29">
        <f t="shared" si="29"/>
        <v>0</v>
      </c>
      <c r="AF670" s="29">
        <f t="shared" si="30"/>
        <v>0</v>
      </c>
      <c r="AG670" s="29">
        <f t="shared" si="31"/>
        <v>0</v>
      </c>
      <c r="AH670" s="29">
        <f t="shared" si="32"/>
        <v>0</v>
      </c>
      <c r="AI670" s="11" t="s">
        <v>1039</v>
      </c>
      <c r="AJ670" s="29">
        <f t="shared" si="33"/>
        <v>0</v>
      </c>
      <c r="AK670" s="29">
        <f t="shared" si="34"/>
        <v>0</v>
      </c>
      <c r="AL670" s="29">
        <f t="shared" si="35"/>
        <v>0</v>
      </c>
      <c r="AN670" s="29">
        <v>21</v>
      </c>
      <c r="AO670" s="29">
        <f>G670*0.486852086</f>
        <v>0</v>
      </c>
      <c r="AP670" s="29">
        <f>G670*(1-0.486852086)</f>
        <v>0</v>
      </c>
      <c r="AQ670" s="31" t="s">
        <v>70</v>
      </c>
      <c r="AV670" s="29">
        <f t="shared" si="36"/>
        <v>0</v>
      </c>
      <c r="AW670" s="29">
        <f t="shared" si="37"/>
        <v>0</v>
      </c>
      <c r="AX670" s="29">
        <f t="shared" si="38"/>
        <v>0</v>
      </c>
      <c r="AY670" s="31" t="s">
        <v>1149</v>
      </c>
      <c r="AZ670" s="31" t="s">
        <v>1114</v>
      </c>
      <c r="BA670" s="11" t="s">
        <v>1044</v>
      </c>
      <c r="BC670" s="29">
        <f t="shared" si="39"/>
        <v>0</v>
      </c>
      <c r="BD670" s="29">
        <f t="shared" si="40"/>
        <v>0</v>
      </c>
      <c r="BE670" s="29">
        <v>0</v>
      </c>
      <c r="BF670" s="29">
        <f>670</f>
        <v>670</v>
      </c>
      <c r="BH670" s="29">
        <f t="shared" si="41"/>
        <v>0</v>
      </c>
      <c r="BI670" s="29">
        <f t="shared" si="42"/>
        <v>0</v>
      </c>
      <c r="BJ670" s="29">
        <f t="shared" si="43"/>
        <v>0</v>
      </c>
      <c r="BK670" s="29"/>
      <c r="BL670" s="29"/>
      <c r="BW670" s="29">
        <v>21</v>
      </c>
      <c r="BX670" s="5" t="s">
        <v>1165</v>
      </c>
    </row>
    <row r="671" spans="1:76" ht="14.4" x14ac:dyDescent="0.3">
      <c r="A671" s="2" t="s">
        <v>1166</v>
      </c>
      <c r="B671" s="3" t="s">
        <v>1167</v>
      </c>
      <c r="C671" s="87" t="s">
        <v>1168</v>
      </c>
      <c r="D671" s="84"/>
      <c r="E671" s="3" t="s">
        <v>73</v>
      </c>
      <c r="F671" s="29">
        <v>720</v>
      </c>
      <c r="G671" s="29">
        <v>0</v>
      </c>
      <c r="H671" s="29">
        <f t="shared" si="22"/>
        <v>0</v>
      </c>
      <c r="I671" s="29">
        <f t="shared" si="23"/>
        <v>0</v>
      </c>
      <c r="J671" s="29">
        <f t="shared" si="24"/>
        <v>0</v>
      </c>
      <c r="K671" s="30" t="s">
        <v>250</v>
      </c>
      <c r="Z671" s="29">
        <f t="shared" si="25"/>
        <v>0</v>
      </c>
      <c r="AB671" s="29">
        <f t="shared" si="26"/>
        <v>0</v>
      </c>
      <c r="AC671" s="29">
        <f t="shared" si="27"/>
        <v>0</v>
      </c>
      <c r="AD671" s="29">
        <f t="shared" si="28"/>
        <v>0</v>
      </c>
      <c r="AE671" s="29">
        <f t="shared" si="29"/>
        <v>0</v>
      </c>
      <c r="AF671" s="29">
        <f t="shared" si="30"/>
        <v>0</v>
      </c>
      <c r="AG671" s="29">
        <f t="shared" si="31"/>
        <v>0</v>
      </c>
      <c r="AH671" s="29">
        <f t="shared" si="32"/>
        <v>0</v>
      </c>
      <c r="AI671" s="11" t="s">
        <v>1039</v>
      </c>
      <c r="AJ671" s="29">
        <f t="shared" si="33"/>
        <v>0</v>
      </c>
      <c r="AK671" s="29">
        <f t="shared" si="34"/>
        <v>0</v>
      </c>
      <c r="AL671" s="29">
        <f t="shared" si="35"/>
        <v>0</v>
      </c>
      <c r="AN671" s="29">
        <v>21</v>
      </c>
      <c r="AO671" s="29">
        <f>G671*0.287711018</f>
        <v>0</v>
      </c>
      <c r="AP671" s="29">
        <f>G671*(1-0.287711018)</f>
        <v>0</v>
      </c>
      <c r="AQ671" s="31" t="s">
        <v>70</v>
      </c>
      <c r="AV671" s="29">
        <f t="shared" si="36"/>
        <v>0</v>
      </c>
      <c r="AW671" s="29">
        <f t="shared" si="37"/>
        <v>0</v>
      </c>
      <c r="AX671" s="29">
        <f t="shared" si="38"/>
        <v>0</v>
      </c>
      <c r="AY671" s="31" t="s">
        <v>1149</v>
      </c>
      <c r="AZ671" s="31" t="s">
        <v>1114</v>
      </c>
      <c r="BA671" s="11" t="s">
        <v>1044</v>
      </c>
      <c r="BC671" s="29">
        <f t="shared" si="39"/>
        <v>0</v>
      </c>
      <c r="BD671" s="29">
        <f t="shared" si="40"/>
        <v>0</v>
      </c>
      <c r="BE671" s="29">
        <v>0</v>
      </c>
      <c r="BF671" s="29">
        <f>671</f>
        <v>671</v>
      </c>
      <c r="BH671" s="29">
        <f t="shared" si="41"/>
        <v>0</v>
      </c>
      <c r="BI671" s="29">
        <f t="shared" si="42"/>
        <v>0</v>
      </c>
      <c r="BJ671" s="29">
        <f t="shared" si="43"/>
        <v>0</v>
      </c>
      <c r="BK671" s="29"/>
      <c r="BL671" s="29"/>
      <c r="BW671" s="29">
        <v>21</v>
      </c>
      <c r="BX671" s="5" t="s">
        <v>1168</v>
      </c>
    </row>
    <row r="672" spans="1:76" ht="14.4" x14ac:dyDescent="0.3">
      <c r="A672" s="2" t="s">
        <v>1169</v>
      </c>
      <c r="B672" s="3" t="s">
        <v>1170</v>
      </c>
      <c r="C672" s="87" t="s">
        <v>1171</v>
      </c>
      <c r="D672" s="84"/>
      <c r="E672" s="3" t="s">
        <v>73</v>
      </c>
      <c r="F672" s="29">
        <v>20</v>
      </c>
      <c r="G672" s="29">
        <v>0</v>
      </c>
      <c r="H672" s="29">
        <f t="shared" si="22"/>
        <v>0</v>
      </c>
      <c r="I672" s="29">
        <f t="shared" si="23"/>
        <v>0</v>
      </c>
      <c r="J672" s="29">
        <f t="shared" si="24"/>
        <v>0</v>
      </c>
      <c r="K672" s="30" t="s">
        <v>250</v>
      </c>
      <c r="Z672" s="29">
        <f t="shared" si="25"/>
        <v>0</v>
      </c>
      <c r="AB672" s="29">
        <f t="shared" si="26"/>
        <v>0</v>
      </c>
      <c r="AC672" s="29">
        <f t="shared" si="27"/>
        <v>0</v>
      </c>
      <c r="AD672" s="29">
        <f t="shared" si="28"/>
        <v>0</v>
      </c>
      <c r="AE672" s="29">
        <f t="shared" si="29"/>
        <v>0</v>
      </c>
      <c r="AF672" s="29">
        <f t="shared" si="30"/>
        <v>0</v>
      </c>
      <c r="AG672" s="29">
        <f t="shared" si="31"/>
        <v>0</v>
      </c>
      <c r="AH672" s="29">
        <f t="shared" si="32"/>
        <v>0</v>
      </c>
      <c r="AI672" s="11" t="s">
        <v>1039</v>
      </c>
      <c r="AJ672" s="29">
        <f t="shared" si="33"/>
        <v>0</v>
      </c>
      <c r="AK672" s="29">
        <f t="shared" si="34"/>
        <v>0</v>
      </c>
      <c r="AL672" s="29">
        <f t="shared" si="35"/>
        <v>0</v>
      </c>
      <c r="AN672" s="29">
        <v>21</v>
      </c>
      <c r="AO672" s="29">
        <f>G672*0.64893617</f>
        <v>0</v>
      </c>
      <c r="AP672" s="29">
        <f>G672*(1-0.64893617)</f>
        <v>0</v>
      </c>
      <c r="AQ672" s="31" t="s">
        <v>70</v>
      </c>
      <c r="AV672" s="29">
        <f t="shared" si="36"/>
        <v>0</v>
      </c>
      <c r="AW672" s="29">
        <f t="shared" si="37"/>
        <v>0</v>
      </c>
      <c r="AX672" s="29">
        <f t="shared" si="38"/>
        <v>0</v>
      </c>
      <c r="AY672" s="31" t="s">
        <v>1149</v>
      </c>
      <c r="AZ672" s="31" t="s">
        <v>1114</v>
      </c>
      <c r="BA672" s="11" t="s">
        <v>1044</v>
      </c>
      <c r="BC672" s="29">
        <f t="shared" si="39"/>
        <v>0</v>
      </c>
      <c r="BD672" s="29">
        <f t="shared" si="40"/>
        <v>0</v>
      </c>
      <c r="BE672" s="29">
        <v>0</v>
      </c>
      <c r="BF672" s="29">
        <f>672</f>
        <v>672</v>
      </c>
      <c r="BH672" s="29">
        <f t="shared" si="41"/>
        <v>0</v>
      </c>
      <c r="BI672" s="29">
        <f t="shared" si="42"/>
        <v>0</v>
      </c>
      <c r="BJ672" s="29">
        <f t="shared" si="43"/>
        <v>0</v>
      </c>
      <c r="BK672" s="29"/>
      <c r="BL672" s="29"/>
      <c r="BW672" s="29">
        <v>21</v>
      </c>
      <c r="BX672" s="5" t="s">
        <v>1171</v>
      </c>
    </row>
    <row r="673" spans="1:76" ht="14.4" x14ac:dyDescent="0.3">
      <c r="A673" s="2" t="s">
        <v>1172</v>
      </c>
      <c r="B673" s="3" t="s">
        <v>1173</v>
      </c>
      <c r="C673" s="87" t="s">
        <v>1174</v>
      </c>
      <c r="D673" s="84"/>
      <c r="E673" s="3" t="s">
        <v>73</v>
      </c>
      <c r="F673" s="29">
        <v>240</v>
      </c>
      <c r="G673" s="29">
        <v>0</v>
      </c>
      <c r="H673" s="29">
        <f t="shared" si="22"/>
        <v>0</v>
      </c>
      <c r="I673" s="29">
        <f t="shared" si="23"/>
        <v>0</v>
      </c>
      <c r="J673" s="29">
        <f t="shared" si="24"/>
        <v>0</v>
      </c>
      <c r="K673" s="30" t="s">
        <v>250</v>
      </c>
      <c r="Z673" s="29">
        <f t="shared" si="25"/>
        <v>0</v>
      </c>
      <c r="AB673" s="29">
        <f t="shared" si="26"/>
        <v>0</v>
      </c>
      <c r="AC673" s="29">
        <f t="shared" si="27"/>
        <v>0</v>
      </c>
      <c r="AD673" s="29">
        <f t="shared" si="28"/>
        <v>0</v>
      </c>
      <c r="AE673" s="29">
        <f t="shared" si="29"/>
        <v>0</v>
      </c>
      <c r="AF673" s="29">
        <f t="shared" si="30"/>
        <v>0</v>
      </c>
      <c r="AG673" s="29">
        <f t="shared" si="31"/>
        <v>0</v>
      </c>
      <c r="AH673" s="29">
        <f t="shared" si="32"/>
        <v>0</v>
      </c>
      <c r="AI673" s="11" t="s">
        <v>1039</v>
      </c>
      <c r="AJ673" s="29">
        <f t="shared" si="33"/>
        <v>0</v>
      </c>
      <c r="AK673" s="29">
        <f t="shared" si="34"/>
        <v>0</v>
      </c>
      <c r="AL673" s="29">
        <f t="shared" si="35"/>
        <v>0</v>
      </c>
      <c r="AN673" s="29">
        <v>21</v>
      </c>
      <c r="AO673" s="29">
        <f>G673*0.543478261</f>
        <v>0</v>
      </c>
      <c r="AP673" s="29">
        <f>G673*(1-0.543478261)</f>
        <v>0</v>
      </c>
      <c r="AQ673" s="31" t="s">
        <v>70</v>
      </c>
      <c r="AV673" s="29">
        <f t="shared" si="36"/>
        <v>0</v>
      </c>
      <c r="AW673" s="29">
        <f t="shared" si="37"/>
        <v>0</v>
      </c>
      <c r="AX673" s="29">
        <f t="shared" si="38"/>
        <v>0</v>
      </c>
      <c r="AY673" s="31" t="s">
        <v>1149</v>
      </c>
      <c r="AZ673" s="31" t="s">
        <v>1114</v>
      </c>
      <c r="BA673" s="11" t="s">
        <v>1044</v>
      </c>
      <c r="BC673" s="29">
        <f t="shared" si="39"/>
        <v>0</v>
      </c>
      <c r="BD673" s="29">
        <f t="shared" si="40"/>
        <v>0</v>
      </c>
      <c r="BE673" s="29">
        <v>0</v>
      </c>
      <c r="BF673" s="29">
        <f>673</f>
        <v>673</v>
      </c>
      <c r="BH673" s="29">
        <f t="shared" si="41"/>
        <v>0</v>
      </c>
      <c r="BI673" s="29">
        <f t="shared" si="42"/>
        <v>0</v>
      </c>
      <c r="BJ673" s="29">
        <f t="shared" si="43"/>
        <v>0</v>
      </c>
      <c r="BK673" s="29"/>
      <c r="BL673" s="29"/>
      <c r="BW673" s="29">
        <v>21</v>
      </c>
      <c r="BX673" s="5" t="s">
        <v>1174</v>
      </c>
    </row>
    <row r="674" spans="1:76" ht="26.4" x14ac:dyDescent="0.3">
      <c r="A674" s="2" t="s">
        <v>1175</v>
      </c>
      <c r="B674" s="3" t="s">
        <v>1176</v>
      </c>
      <c r="C674" s="87" t="s">
        <v>1177</v>
      </c>
      <c r="D674" s="84"/>
      <c r="E674" s="3" t="s">
        <v>103</v>
      </c>
      <c r="F674" s="29">
        <v>25</v>
      </c>
      <c r="G674" s="29">
        <v>0</v>
      </c>
      <c r="H674" s="29">
        <f t="shared" si="22"/>
        <v>0</v>
      </c>
      <c r="I674" s="29">
        <f t="shared" si="23"/>
        <v>0</v>
      </c>
      <c r="J674" s="29">
        <f t="shared" si="24"/>
        <v>0</v>
      </c>
      <c r="K674" s="30" t="s">
        <v>60</v>
      </c>
      <c r="Z674" s="29">
        <f t="shared" si="25"/>
        <v>0</v>
      </c>
      <c r="AB674" s="29">
        <f t="shared" si="26"/>
        <v>0</v>
      </c>
      <c r="AC674" s="29">
        <f t="shared" si="27"/>
        <v>0</v>
      </c>
      <c r="AD674" s="29">
        <f t="shared" si="28"/>
        <v>0</v>
      </c>
      <c r="AE674" s="29">
        <f t="shared" si="29"/>
        <v>0</v>
      </c>
      <c r="AF674" s="29">
        <f t="shared" si="30"/>
        <v>0</v>
      </c>
      <c r="AG674" s="29">
        <f t="shared" si="31"/>
        <v>0</v>
      </c>
      <c r="AH674" s="29">
        <f t="shared" si="32"/>
        <v>0</v>
      </c>
      <c r="AI674" s="11" t="s">
        <v>1039</v>
      </c>
      <c r="AJ674" s="29">
        <f t="shared" si="33"/>
        <v>0</v>
      </c>
      <c r="AK674" s="29">
        <f t="shared" si="34"/>
        <v>0</v>
      </c>
      <c r="AL674" s="29">
        <f t="shared" si="35"/>
        <v>0</v>
      </c>
      <c r="AN674" s="29">
        <v>21</v>
      </c>
      <c r="AO674" s="29">
        <f>G674*0.082481752</f>
        <v>0</v>
      </c>
      <c r="AP674" s="29">
        <f>G674*(1-0.082481752)</f>
        <v>0</v>
      </c>
      <c r="AQ674" s="31" t="s">
        <v>70</v>
      </c>
      <c r="AV674" s="29">
        <f t="shared" si="36"/>
        <v>0</v>
      </c>
      <c r="AW674" s="29">
        <f t="shared" si="37"/>
        <v>0</v>
      </c>
      <c r="AX674" s="29">
        <f t="shared" si="38"/>
        <v>0</v>
      </c>
      <c r="AY674" s="31" t="s">
        <v>1149</v>
      </c>
      <c r="AZ674" s="31" t="s">
        <v>1114</v>
      </c>
      <c r="BA674" s="11" t="s">
        <v>1044</v>
      </c>
      <c r="BC674" s="29">
        <f t="shared" si="39"/>
        <v>0</v>
      </c>
      <c r="BD674" s="29">
        <f t="shared" si="40"/>
        <v>0</v>
      </c>
      <c r="BE674" s="29">
        <v>0</v>
      </c>
      <c r="BF674" s="29">
        <f>674</f>
        <v>674</v>
      </c>
      <c r="BH674" s="29">
        <f t="shared" si="41"/>
        <v>0</v>
      </c>
      <c r="BI674" s="29">
        <f t="shared" si="42"/>
        <v>0</v>
      </c>
      <c r="BJ674" s="29">
        <f t="shared" si="43"/>
        <v>0</v>
      </c>
      <c r="BK674" s="29"/>
      <c r="BL674" s="29"/>
      <c r="BW674" s="29">
        <v>21</v>
      </c>
      <c r="BX674" s="5" t="s">
        <v>1177</v>
      </c>
    </row>
    <row r="675" spans="1:76" ht="14.4" x14ac:dyDescent="0.3">
      <c r="A675" s="2" t="s">
        <v>1178</v>
      </c>
      <c r="B675" s="3" t="s">
        <v>1179</v>
      </c>
      <c r="C675" s="87" t="s">
        <v>1180</v>
      </c>
      <c r="D675" s="84"/>
      <c r="E675" s="3" t="s">
        <v>1022</v>
      </c>
      <c r="F675" s="29">
        <v>1</v>
      </c>
      <c r="G675" s="29">
        <v>0</v>
      </c>
      <c r="H675" s="29">
        <f t="shared" si="22"/>
        <v>0</v>
      </c>
      <c r="I675" s="29">
        <f t="shared" si="23"/>
        <v>0</v>
      </c>
      <c r="J675" s="29">
        <f t="shared" si="24"/>
        <v>0</v>
      </c>
      <c r="K675" s="30" t="s">
        <v>60</v>
      </c>
      <c r="Z675" s="29">
        <f t="shared" si="25"/>
        <v>0</v>
      </c>
      <c r="AB675" s="29">
        <f t="shared" si="26"/>
        <v>0</v>
      </c>
      <c r="AC675" s="29">
        <f t="shared" si="27"/>
        <v>0</v>
      </c>
      <c r="AD675" s="29">
        <f t="shared" si="28"/>
        <v>0</v>
      </c>
      <c r="AE675" s="29">
        <f t="shared" si="29"/>
        <v>0</v>
      </c>
      <c r="AF675" s="29">
        <f t="shared" si="30"/>
        <v>0</v>
      </c>
      <c r="AG675" s="29">
        <f t="shared" si="31"/>
        <v>0</v>
      </c>
      <c r="AH675" s="29">
        <f t="shared" si="32"/>
        <v>0</v>
      </c>
      <c r="AI675" s="11" t="s">
        <v>1039</v>
      </c>
      <c r="AJ675" s="29">
        <f t="shared" si="33"/>
        <v>0</v>
      </c>
      <c r="AK675" s="29">
        <f t="shared" si="34"/>
        <v>0</v>
      </c>
      <c r="AL675" s="29">
        <f t="shared" si="35"/>
        <v>0</v>
      </c>
      <c r="AN675" s="29">
        <v>21</v>
      </c>
      <c r="AO675" s="29">
        <f>G675*0.5</f>
        <v>0</v>
      </c>
      <c r="AP675" s="29">
        <f>G675*(1-0.5)</f>
        <v>0</v>
      </c>
      <c r="AQ675" s="31" t="s">
        <v>70</v>
      </c>
      <c r="AV675" s="29">
        <f t="shared" si="36"/>
        <v>0</v>
      </c>
      <c r="AW675" s="29">
        <f t="shared" si="37"/>
        <v>0</v>
      </c>
      <c r="AX675" s="29">
        <f t="shared" si="38"/>
        <v>0</v>
      </c>
      <c r="AY675" s="31" t="s">
        <v>1149</v>
      </c>
      <c r="AZ675" s="31" t="s">
        <v>1114</v>
      </c>
      <c r="BA675" s="11" t="s">
        <v>1044</v>
      </c>
      <c r="BC675" s="29">
        <f t="shared" si="39"/>
        <v>0</v>
      </c>
      <c r="BD675" s="29">
        <f t="shared" si="40"/>
        <v>0</v>
      </c>
      <c r="BE675" s="29">
        <v>0</v>
      </c>
      <c r="BF675" s="29">
        <f>675</f>
        <v>675</v>
      </c>
      <c r="BH675" s="29">
        <f t="shared" si="41"/>
        <v>0</v>
      </c>
      <c r="BI675" s="29">
        <f t="shared" si="42"/>
        <v>0</v>
      </c>
      <c r="BJ675" s="29">
        <f t="shared" si="43"/>
        <v>0</v>
      </c>
      <c r="BK675" s="29"/>
      <c r="BL675" s="29"/>
      <c r="BW675" s="29">
        <v>21</v>
      </c>
      <c r="BX675" s="5" t="s">
        <v>1180</v>
      </c>
    </row>
    <row r="676" spans="1:76" ht="14.4" x14ac:dyDescent="0.3">
      <c r="A676" s="2" t="s">
        <v>1181</v>
      </c>
      <c r="B676" s="3" t="s">
        <v>1182</v>
      </c>
      <c r="C676" s="87" t="s">
        <v>1183</v>
      </c>
      <c r="D676" s="84"/>
      <c r="E676" s="3" t="s">
        <v>103</v>
      </c>
      <c r="F676" s="29">
        <v>2</v>
      </c>
      <c r="G676" s="29">
        <v>0</v>
      </c>
      <c r="H676" s="29">
        <f t="shared" si="22"/>
        <v>0</v>
      </c>
      <c r="I676" s="29">
        <f t="shared" si="23"/>
        <v>0</v>
      </c>
      <c r="J676" s="29">
        <f t="shared" si="24"/>
        <v>0</v>
      </c>
      <c r="K676" s="30" t="s">
        <v>60</v>
      </c>
      <c r="Z676" s="29">
        <f t="shared" si="25"/>
        <v>0</v>
      </c>
      <c r="AB676" s="29">
        <f t="shared" si="26"/>
        <v>0</v>
      </c>
      <c r="AC676" s="29">
        <f t="shared" si="27"/>
        <v>0</v>
      </c>
      <c r="AD676" s="29">
        <f t="shared" si="28"/>
        <v>0</v>
      </c>
      <c r="AE676" s="29">
        <f t="shared" si="29"/>
        <v>0</v>
      </c>
      <c r="AF676" s="29">
        <f t="shared" si="30"/>
        <v>0</v>
      </c>
      <c r="AG676" s="29">
        <f t="shared" si="31"/>
        <v>0</v>
      </c>
      <c r="AH676" s="29">
        <f t="shared" si="32"/>
        <v>0</v>
      </c>
      <c r="AI676" s="11" t="s">
        <v>1039</v>
      </c>
      <c r="AJ676" s="29">
        <f t="shared" si="33"/>
        <v>0</v>
      </c>
      <c r="AK676" s="29">
        <f t="shared" si="34"/>
        <v>0</v>
      </c>
      <c r="AL676" s="29">
        <f t="shared" si="35"/>
        <v>0</v>
      </c>
      <c r="AN676" s="29">
        <v>21</v>
      </c>
      <c r="AO676" s="29">
        <f>G676*0.384236453</f>
        <v>0</v>
      </c>
      <c r="AP676" s="29">
        <f>G676*(1-0.384236453)</f>
        <v>0</v>
      </c>
      <c r="AQ676" s="31" t="s">
        <v>70</v>
      </c>
      <c r="AV676" s="29">
        <f t="shared" si="36"/>
        <v>0</v>
      </c>
      <c r="AW676" s="29">
        <f t="shared" si="37"/>
        <v>0</v>
      </c>
      <c r="AX676" s="29">
        <f t="shared" si="38"/>
        <v>0</v>
      </c>
      <c r="AY676" s="31" t="s">
        <v>1149</v>
      </c>
      <c r="AZ676" s="31" t="s">
        <v>1114</v>
      </c>
      <c r="BA676" s="11" t="s">
        <v>1044</v>
      </c>
      <c r="BC676" s="29">
        <f t="shared" si="39"/>
        <v>0</v>
      </c>
      <c r="BD676" s="29">
        <f t="shared" si="40"/>
        <v>0</v>
      </c>
      <c r="BE676" s="29">
        <v>0</v>
      </c>
      <c r="BF676" s="29">
        <f>676</f>
        <v>676</v>
      </c>
      <c r="BH676" s="29">
        <f t="shared" si="41"/>
        <v>0</v>
      </c>
      <c r="BI676" s="29">
        <f t="shared" si="42"/>
        <v>0</v>
      </c>
      <c r="BJ676" s="29">
        <f t="shared" si="43"/>
        <v>0</v>
      </c>
      <c r="BK676" s="29"/>
      <c r="BL676" s="29"/>
      <c r="BW676" s="29">
        <v>21</v>
      </c>
      <c r="BX676" s="5" t="s">
        <v>1183</v>
      </c>
    </row>
    <row r="677" spans="1:76" ht="14.4" x14ac:dyDescent="0.3">
      <c r="A677" s="25" t="s">
        <v>51</v>
      </c>
      <c r="B677" s="26" t="s">
        <v>1184</v>
      </c>
      <c r="C677" s="143" t="s">
        <v>1185</v>
      </c>
      <c r="D677" s="144"/>
      <c r="E677" s="27" t="s">
        <v>4</v>
      </c>
      <c r="F677" s="27" t="s">
        <v>4</v>
      </c>
      <c r="G677" s="27" t="s">
        <v>4</v>
      </c>
      <c r="H677" s="1">
        <f>SUM(H678:H698)</f>
        <v>0</v>
      </c>
      <c r="I677" s="1">
        <f>SUM(I678:I698)</f>
        <v>0</v>
      </c>
      <c r="J677" s="1">
        <f>SUM(J678:J698)</f>
        <v>0</v>
      </c>
      <c r="K677" s="28" t="s">
        <v>51</v>
      </c>
      <c r="AI677" s="11" t="s">
        <v>1039</v>
      </c>
      <c r="AS677" s="1">
        <f>SUM(AJ678:AJ698)</f>
        <v>0</v>
      </c>
      <c r="AT677" s="1">
        <f>SUM(AK678:AK698)</f>
        <v>0</v>
      </c>
      <c r="AU677" s="1">
        <f>SUM(AL678:AL698)</f>
        <v>0</v>
      </c>
    </row>
    <row r="678" spans="1:76" ht="14.4" x14ac:dyDescent="0.3">
      <c r="A678" s="2" t="s">
        <v>1186</v>
      </c>
      <c r="B678" s="3" t="s">
        <v>1187</v>
      </c>
      <c r="C678" s="87" t="s">
        <v>1188</v>
      </c>
      <c r="D678" s="84"/>
      <c r="E678" s="3" t="s">
        <v>73</v>
      </c>
      <c r="F678" s="29">
        <v>160</v>
      </c>
      <c r="G678" s="29">
        <v>0</v>
      </c>
      <c r="H678" s="29">
        <f t="shared" ref="H678:H698" si="44">F678*AO678</f>
        <v>0</v>
      </c>
      <c r="I678" s="29">
        <f t="shared" ref="I678:I698" si="45">F678*AP678</f>
        <v>0</v>
      </c>
      <c r="J678" s="29">
        <f t="shared" ref="J678:J698" si="46">F678*G678</f>
        <v>0</v>
      </c>
      <c r="K678" s="30" t="s">
        <v>60</v>
      </c>
      <c r="Z678" s="29">
        <f t="shared" ref="Z678:Z698" si="47">IF(AQ678="5",BJ678,0)</f>
        <v>0</v>
      </c>
      <c r="AB678" s="29">
        <f t="shared" ref="AB678:AB698" si="48">IF(AQ678="1",BH678,0)</f>
        <v>0</v>
      </c>
      <c r="AC678" s="29">
        <f t="shared" ref="AC678:AC698" si="49">IF(AQ678="1",BI678,0)</f>
        <v>0</v>
      </c>
      <c r="AD678" s="29">
        <f t="shared" ref="AD678:AD698" si="50">IF(AQ678="7",BH678,0)</f>
        <v>0</v>
      </c>
      <c r="AE678" s="29">
        <f t="shared" ref="AE678:AE698" si="51">IF(AQ678="7",BI678,0)</f>
        <v>0</v>
      </c>
      <c r="AF678" s="29">
        <f t="shared" ref="AF678:AF698" si="52">IF(AQ678="2",BH678,0)</f>
        <v>0</v>
      </c>
      <c r="AG678" s="29">
        <f t="shared" ref="AG678:AG698" si="53">IF(AQ678="2",BI678,0)</f>
        <v>0</v>
      </c>
      <c r="AH678" s="29">
        <f t="shared" ref="AH678:AH698" si="54">IF(AQ678="0",BJ678,0)</f>
        <v>0</v>
      </c>
      <c r="AI678" s="11" t="s">
        <v>1039</v>
      </c>
      <c r="AJ678" s="29">
        <f t="shared" ref="AJ678:AJ698" si="55">IF(AN678=0,J678,0)</f>
        <v>0</v>
      </c>
      <c r="AK678" s="29">
        <f t="shared" ref="AK678:AK698" si="56">IF(AN678=12,J678,0)</f>
        <v>0</v>
      </c>
      <c r="AL678" s="29">
        <f t="shared" ref="AL678:AL698" si="57">IF(AN678=21,J678,0)</f>
        <v>0</v>
      </c>
      <c r="AN678" s="29">
        <v>21</v>
      </c>
      <c r="AO678" s="29">
        <f>G678*0.6</f>
        <v>0</v>
      </c>
      <c r="AP678" s="29">
        <f>G678*(1-0.6)</f>
        <v>0</v>
      </c>
      <c r="AQ678" s="31" t="s">
        <v>70</v>
      </c>
      <c r="AV678" s="29">
        <f t="shared" ref="AV678:AV698" si="58">AW678+AX678</f>
        <v>0</v>
      </c>
      <c r="AW678" s="29">
        <f t="shared" ref="AW678:AW698" si="59">F678*AO678</f>
        <v>0</v>
      </c>
      <c r="AX678" s="29">
        <f t="shared" ref="AX678:AX698" si="60">F678*AP678</f>
        <v>0</v>
      </c>
      <c r="AY678" s="31" t="s">
        <v>1189</v>
      </c>
      <c r="AZ678" s="31" t="s">
        <v>1114</v>
      </c>
      <c r="BA678" s="11" t="s">
        <v>1044</v>
      </c>
      <c r="BC678" s="29">
        <f t="shared" ref="BC678:BC698" si="61">AW678+AX678</f>
        <v>0</v>
      </c>
      <c r="BD678" s="29">
        <f t="shared" ref="BD678:BD698" si="62">G678/(100-BE678)*100</f>
        <v>0</v>
      </c>
      <c r="BE678" s="29">
        <v>0</v>
      </c>
      <c r="BF678" s="29">
        <f>678</f>
        <v>678</v>
      </c>
      <c r="BH678" s="29">
        <f t="shared" ref="BH678:BH698" si="63">F678*AO678</f>
        <v>0</v>
      </c>
      <c r="BI678" s="29">
        <f t="shared" ref="BI678:BI698" si="64">F678*AP678</f>
        <v>0</v>
      </c>
      <c r="BJ678" s="29">
        <f t="shared" ref="BJ678:BJ698" si="65">F678*G678</f>
        <v>0</v>
      </c>
      <c r="BK678" s="29"/>
      <c r="BL678" s="29"/>
      <c r="BW678" s="29">
        <v>21</v>
      </c>
      <c r="BX678" s="5" t="s">
        <v>1188</v>
      </c>
    </row>
    <row r="679" spans="1:76" ht="14.4" x14ac:dyDescent="0.3">
      <c r="A679" s="2" t="s">
        <v>1190</v>
      </c>
      <c r="B679" s="3" t="s">
        <v>1191</v>
      </c>
      <c r="C679" s="87" t="s">
        <v>1192</v>
      </c>
      <c r="D679" s="84"/>
      <c r="E679" s="3" t="s">
        <v>73</v>
      </c>
      <c r="F679" s="29">
        <v>160</v>
      </c>
      <c r="G679" s="29">
        <v>0</v>
      </c>
      <c r="H679" s="29">
        <f t="shared" si="44"/>
        <v>0</v>
      </c>
      <c r="I679" s="29">
        <f t="shared" si="45"/>
        <v>0</v>
      </c>
      <c r="J679" s="29">
        <f t="shared" si="46"/>
        <v>0</v>
      </c>
      <c r="K679" s="30" t="s">
        <v>60</v>
      </c>
      <c r="Z679" s="29">
        <f t="shared" si="47"/>
        <v>0</v>
      </c>
      <c r="AB679" s="29">
        <f t="shared" si="48"/>
        <v>0</v>
      </c>
      <c r="AC679" s="29">
        <f t="shared" si="49"/>
        <v>0</v>
      </c>
      <c r="AD679" s="29">
        <f t="shared" si="50"/>
        <v>0</v>
      </c>
      <c r="AE679" s="29">
        <f t="shared" si="51"/>
        <v>0</v>
      </c>
      <c r="AF679" s="29">
        <f t="shared" si="52"/>
        <v>0</v>
      </c>
      <c r="AG679" s="29">
        <f t="shared" si="53"/>
        <v>0</v>
      </c>
      <c r="AH679" s="29">
        <f t="shared" si="54"/>
        <v>0</v>
      </c>
      <c r="AI679" s="11" t="s">
        <v>1039</v>
      </c>
      <c r="AJ679" s="29">
        <f t="shared" si="55"/>
        <v>0</v>
      </c>
      <c r="AK679" s="29">
        <f t="shared" si="56"/>
        <v>0</v>
      </c>
      <c r="AL679" s="29">
        <f t="shared" si="57"/>
        <v>0</v>
      </c>
      <c r="AN679" s="29">
        <v>21</v>
      </c>
      <c r="AO679" s="29">
        <f>G679*0.857142857</f>
        <v>0</v>
      </c>
      <c r="AP679" s="29">
        <f>G679*(1-0.857142857)</f>
        <v>0</v>
      </c>
      <c r="AQ679" s="31" t="s">
        <v>70</v>
      </c>
      <c r="AV679" s="29">
        <f t="shared" si="58"/>
        <v>0</v>
      </c>
      <c r="AW679" s="29">
        <f t="shared" si="59"/>
        <v>0</v>
      </c>
      <c r="AX679" s="29">
        <f t="shared" si="60"/>
        <v>0</v>
      </c>
      <c r="AY679" s="31" t="s">
        <v>1189</v>
      </c>
      <c r="AZ679" s="31" t="s">
        <v>1114</v>
      </c>
      <c r="BA679" s="11" t="s">
        <v>1044</v>
      </c>
      <c r="BC679" s="29">
        <f t="shared" si="61"/>
        <v>0</v>
      </c>
      <c r="BD679" s="29">
        <f t="shared" si="62"/>
        <v>0</v>
      </c>
      <c r="BE679" s="29">
        <v>0</v>
      </c>
      <c r="BF679" s="29">
        <f>679</f>
        <v>679</v>
      </c>
      <c r="BH679" s="29">
        <f t="shared" si="63"/>
        <v>0</v>
      </c>
      <c r="BI679" s="29">
        <f t="shared" si="64"/>
        <v>0</v>
      </c>
      <c r="BJ679" s="29">
        <f t="shared" si="65"/>
        <v>0</v>
      </c>
      <c r="BK679" s="29"/>
      <c r="BL679" s="29"/>
      <c r="BW679" s="29">
        <v>21</v>
      </c>
      <c r="BX679" s="5" t="s">
        <v>1192</v>
      </c>
    </row>
    <row r="680" spans="1:76" ht="14.4" x14ac:dyDescent="0.3">
      <c r="A680" s="2" t="s">
        <v>1193</v>
      </c>
      <c r="B680" s="3" t="s">
        <v>1191</v>
      </c>
      <c r="C680" s="87" t="s">
        <v>1194</v>
      </c>
      <c r="D680" s="84"/>
      <c r="E680" s="3" t="s">
        <v>73</v>
      </c>
      <c r="F680" s="29">
        <v>20</v>
      </c>
      <c r="G680" s="29">
        <v>0</v>
      </c>
      <c r="H680" s="29">
        <f t="shared" si="44"/>
        <v>0</v>
      </c>
      <c r="I680" s="29">
        <f t="shared" si="45"/>
        <v>0</v>
      </c>
      <c r="J680" s="29">
        <f t="shared" si="46"/>
        <v>0</v>
      </c>
      <c r="K680" s="30" t="s">
        <v>60</v>
      </c>
      <c r="Z680" s="29">
        <f t="shared" si="47"/>
        <v>0</v>
      </c>
      <c r="AB680" s="29">
        <f t="shared" si="48"/>
        <v>0</v>
      </c>
      <c r="AC680" s="29">
        <f t="shared" si="49"/>
        <v>0</v>
      </c>
      <c r="AD680" s="29">
        <f t="shared" si="50"/>
        <v>0</v>
      </c>
      <c r="AE680" s="29">
        <f t="shared" si="51"/>
        <v>0</v>
      </c>
      <c r="AF680" s="29">
        <f t="shared" si="52"/>
        <v>0</v>
      </c>
      <c r="AG680" s="29">
        <f t="shared" si="53"/>
        <v>0</v>
      </c>
      <c r="AH680" s="29">
        <f t="shared" si="54"/>
        <v>0</v>
      </c>
      <c r="AI680" s="11" t="s">
        <v>1039</v>
      </c>
      <c r="AJ680" s="29">
        <f t="shared" si="55"/>
        <v>0</v>
      </c>
      <c r="AK680" s="29">
        <f t="shared" si="56"/>
        <v>0</v>
      </c>
      <c r="AL680" s="29">
        <f t="shared" si="57"/>
        <v>0</v>
      </c>
      <c r="AN680" s="29">
        <v>21</v>
      </c>
      <c r="AO680" s="29">
        <f>G680*0.840764331</f>
        <v>0</v>
      </c>
      <c r="AP680" s="29">
        <f>G680*(1-0.840764331)</f>
        <v>0</v>
      </c>
      <c r="AQ680" s="31" t="s">
        <v>70</v>
      </c>
      <c r="AV680" s="29">
        <f t="shared" si="58"/>
        <v>0</v>
      </c>
      <c r="AW680" s="29">
        <f t="shared" si="59"/>
        <v>0</v>
      </c>
      <c r="AX680" s="29">
        <f t="shared" si="60"/>
        <v>0</v>
      </c>
      <c r="AY680" s="31" t="s">
        <v>1189</v>
      </c>
      <c r="AZ680" s="31" t="s">
        <v>1114</v>
      </c>
      <c r="BA680" s="11" t="s">
        <v>1044</v>
      </c>
      <c r="BC680" s="29">
        <f t="shared" si="61"/>
        <v>0</v>
      </c>
      <c r="BD680" s="29">
        <f t="shared" si="62"/>
        <v>0</v>
      </c>
      <c r="BE680" s="29">
        <v>0</v>
      </c>
      <c r="BF680" s="29">
        <f>680</f>
        <v>680</v>
      </c>
      <c r="BH680" s="29">
        <f t="shared" si="63"/>
        <v>0</v>
      </c>
      <c r="BI680" s="29">
        <f t="shared" si="64"/>
        <v>0</v>
      </c>
      <c r="BJ680" s="29">
        <f t="shared" si="65"/>
        <v>0</v>
      </c>
      <c r="BK680" s="29"/>
      <c r="BL680" s="29"/>
      <c r="BW680" s="29">
        <v>21</v>
      </c>
      <c r="BX680" s="5" t="s">
        <v>1194</v>
      </c>
    </row>
    <row r="681" spans="1:76" ht="14.4" x14ac:dyDescent="0.3">
      <c r="A681" s="2" t="s">
        <v>1195</v>
      </c>
      <c r="B681" s="3" t="s">
        <v>1196</v>
      </c>
      <c r="C681" s="87" t="s">
        <v>1197</v>
      </c>
      <c r="D681" s="84"/>
      <c r="E681" s="3" t="s">
        <v>73</v>
      </c>
      <c r="F681" s="29">
        <v>180</v>
      </c>
      <c r="G681" s="29">
        <v>0</v>
      </c>
      <c r="H681" s="29">
        <f t="shared" si="44"/>
        <v>0</v>
      </c>
      <c r="I681" s="29">
        <f t="shared" si="45"/>
        <v>0</v>
      </c>
      <c r="J681" s="29">
        <f t="shared" si="46"/>
        <v>0</v>
      </c>
      <c r="K681" s="30" t="s">
        <v>351</v>
      </c>
      <c r="Z681" s="29">
        <f t="shared" si="47"/>
        <v>0</v>
      </c>
      <c r="AB681" s="29">
        <f t="shared" si="48"/>
        <v>0</v>
      </c>
      <c r="AC681" s="29">
        <f t="shared" si="49"/>
        <v>0</v>
      </c>
      <c r="AD681" s="29">
        <f t="shared" si="50"/>
        <v>0</v>
      </c>
      <c r="AE681" s="29">
        <f t="shared" si="51"/>
        <v>0</v>
      </c>
      <c r="AF681" s="29">
        <f t="shared" si="52"/>
        <v>0</v>
      </c>
      <c r="AG681" s="29">
        <f t="shared" si="53"/>
        <v>0</v>
      </c>
      <c r="AH681" s="29">
        <f t="shared" si="54"/>
        <v>0</v>
      </c>
      <c r="AI681" s="11" t="s">
        <v>1039</v>
      </c>
      <c r="AJ681" s="29">
        <f t="shared" si="55"/>
        <v>0</v>
      </c>
      <c r="AK681" s="29">
        <f t="shared" si="56"/>
        <v>0</v>
      </c>
      <c r="AL681" s="29">
        <f t="shared" si="57"/>
        <v>0</v>
      </c>
      <c r="AN681" s="29">
        <v>21</v>
      </c>
      <c r="AO681" s="29">
        <f>G681*0.826771654</f>
        <v>0</v>
      </c>
      <c r="AP681" s="29">
        <f>G681*(1-0.826771654)</f>
        <v>0</v>
      </c>
      <c r="AQ681" s="31" t="s">
        <v>70</v>
      </c>
      <c r="AV681" s="29">
        <f t="shared" si="58"/>
        <v>0</v>
      </c>
      <c r="AW681" s="29">
        <f t="shared" si="59"/>
        <v>0</v>
      </c>
      <c r="AX681" s="29">
        <f t="shared" si="60"/>
        <v>0</v>
      </c>
      <c r="AY681" s="31" t="s">
        <v>1189</v>
      </c>
      <c r="AZ681" s="31" t="s">
        <v>1114</v>
      </c>
      <c r="BA681" s="11" t="s">
        <v>1044</v>
      </c>
      <c r="BC681" s="29">
        <f t="shared" si="61"/>
        <v>0</v>
      </c>
      <c r="BD681" s="29">
        <f t="shared" si="62"/>
        <v>0</v>
      </c>
      <c r="BE681" s="29">
        <v>0</v>
      </c>
      <c r="BF681" s="29">
        <f>681</f>
        <v>681</v>
      </c>
      <c r="BH681" s="29">
        <f t="shared" si="63"/>
        <v>0</v>
      </c>
      <c r="BI681" s="29">
        <f t="shared" si="64"/>
        <v>0</v>
      </c>
      <c r="BJ681" s="29">
        <f t="shared" si="65"/>
        <v>0</v>
      </c>
      <c r="BK681" s="29"/>
      <c r="BL681" s="29"/>
      <c r="BW681" s="29">
        <v>21</v>
      </c>
      <c r="BX681" s="5" t="s">
        <v>1197</v>
      </c>
    </row>
    <row r="682" spans="1:76" ht="14.4" x14ac:dyDescent="0.3">
      <c r="A682" s="2" t="s">
        <v>1198</v>
      </c>
      <c r="B682" s="3" t="s">
        <v>1199</v>
      </c>
      <c r="C682" s="87" t="s">
        <v>1200</v>
      </c>
      <c r="D682" s="84"/>
      <c r="E682" s="3" t="s">
        <v>350</v>
      </c>
      <c r="F682" s="29">
        <v>10</v>
      </c>
      <c r="G682" s="29">
        <v>0</v>
      </c>
      <c r="H682" s="29">
        <f t="shared" si="44"/>
        <v>0</v>
      </c>
      <c r="I682" s="29">
        <f t="shared" si="45"/>
        <v>0</v>
      </c>
      <c r="J682" s="29">
        <f t="shared" si="46"/>
        <v>0</v>
      </c>
      <c r="K682" s="30" t="s">
        <v>60</v>
      </c>
      <c r="Z682" s="29">
        <f t="shared" si="47"/>
        <v>0</v>
      </c>
      <c r="AB682" s="29">
        <f t="shared" si="48"/>
        <v>0</v>
      </c>
      <c r="AC682" s="29">
        <f t="shared" si="49"/>
        <v>0</v>
      </c>
      <c r="AD682" s="29">
        <f t="shared" si="50"/>
        <v>0</v>
      </c>
      <c r="AE682" s="29">
        <f t="shared" si="51"/>
        <v>0</v>
      </c>
      <c r="AF682" s="29">
        <f t="shared" si="52"/>
        <v>0</v>
      </c>
      <c r="AG682" s="29">
        <f t="shared" si="53"/>
        <v>0</v>
      </c>
      <c r="AH682" s="29">
        <f t="shared" si="54"/>
        <v>0</v>
      </c>
      <c r="AI682" s="11" t="s">
        <v>1039</v>
      </c>
      <c r="AJ682" s="29">
        <f t="shared" si="55"/>
        <v>0</v>
      </c>
      <c r="AK682" s="29">
        <f t="shared" si="56"/>
        <v>0</v>
      </c>
      <c r="AL682" s="29">
        <f t="shared" si="57"/>
        <v>0</v>
      </c>
      <c r="AN682" s="29">
        <v>21</v>
      </c>
      <c r="AO682" s="29">
        <f>G682*0.900318134</f>
        <v>0</v>
      </c>
      <c r="AP682" s="29">
        <f>G682*(1-0.900318134)</f>
        <v>0</v>
      </c>
      <c r="AQ682" s="31" t="s">
        <v>70</v>
      </c>
      <c r="AV682" s="29">
        <f t="shared" si="58"/>
        <v>0</v>
      </c>
      <c r="AW682" s="29">
        <f t="shared" si="59"/>
        <v>0</v>
      </c>
      <c r="AX682" s="29">
        <f t="shared" si="60"/>
        <v>0</v>
      </c>
      <c r="AY682" s="31" t="s">
        <v>1189</v>
      </c>
      <c r="AZ682" s="31" t="s">
        <v>1114</v>
      </c>
      <c r="BA682" s="11" t="s">
        <v>1044</v>
      </c>
      <c r="BC682" s="29">
        <f t="shared" si="61"/>
        <v>0</v>
      </c>
      <c r="BD682" s="29">
        <f t="shared" si="62"/>
        <v>0</v>
      </c>
      <c r="BE682" s="29">
        <v>0</v>
      </c>
      <c r="BF682" s="29">
        <f>682</f>
        <v>682</v>
      </c>
      <c r="BH682" s="29">
        <f t="shared" si="63"/>
        <v>0</v>
      </c>
      <c r="BI682" s="29">
        <f t="shared" si="64"/>
        <v>0</v>
      </c>
      <c r="BJ682" s="29">
        <f t="shared" si="65"/>
        <v>0</v>
      </c>
      <c r="BK682" s="29"/>
      <c r="BL682" s="29"/>
      <c r="BW682" s="29">
        <v>21</v>
      </c>
      <c r="BX682" s="5" t="s">
        <v>1200</v>
      </c>
    </row>
    <row r="683" spans="1:76" ht="14.4" x14ac:dyDescent="0.3">
      <c r="A683" s="2" t="s">
        <v>1201</v>
      </c>
      <c r="B683" s="3" t="s">
        <v>1202</v>
      </c>
      <c r="C683" s="87" t="s">
        <v>1203</v>
      </c>
      <c r="D683" s="84"/>
      <c r="E683" s="3" t="s">
        <v>350</v>
      </c>
      <c r="F683" s="29">
        <v>10</v>
      </c>
      <c r="G683" s="29">
        <v>0</v>
      </c>
      <c r="H683" s="29">
        <f t="shared" si="44"/>
        <v>0</v>
      </c>
      <c r="I683" s="29">
        <f t="shared" si="45"/>
        <v>0</v>
      </c>
      <c r="J683" s="29">
        <f t="shared" si="46"/>
        <v>0</v>
      </c>
      <c r="K683" s="30" t="s">
        <v>60</v>
      </c>
      <c r="Z683" s="29">
        <f t="shared" si="47"/>
        <v>0</v>
      </c>
      <c r="AB683" s="29">
        <f t="shared" si="48"/>
        <v>0</v>
      </c>
      <c r="AC683" s="29">
        <f t="shared" si="49"/>
        <v>0</v>
      </c>
      <c r="AD683" s="29">
        <f t="shared" si="50"/>
        <v>0</v>
      </c>
      <c r="AE683" s="29">
        <f t="shared" si="51"/>
        <v>0</v>
      </c>
      <c r="AF683" s="29">
        <f t="shared" si="52"/>
        <v>0</v>
      </c>
      <c r="AG683" s="29">
        <f t="shared" si="53"/>
        <v>0</v>
      </c>
      <c r="AH683" s="29">
        <f t="shared" si="54"/>
        <v>0</v>
      </c>
      <c r="AI683" s="11" t="s">
        <v>1039</v>
      </c>
      <c r="AJ683" s="29">
        <f t="shared" si="55"/>
        <v>0</v>
      </c>
      <c r="AK683" s="29">
        <f t="shared" si="56"/>
        <v>0</v>
      </c>
      <c r="AL683" s="29">
        <f t="shared" si="57"/>
        <v>0</v>
      </c>
      <c r="AN683" s="29">
        <v>21</v>
      </c>
      <c r="AO683" s="29">
        <f>G683*0.85013624</f>
        <v>0</v>
      </c>
      <c r="AP683" s="29">
        <f>G683*(1-0.85013624)</f>
        <v>0</v>
      </c>
      <c r="AQ683" s="31" t="s">
        <v>70</v>
      </c>
      <c r="AV683" s="29">
        <f t="shared" si="58"/>
        <v>0</v>
      </c>
      <c r="AW683" s="29">
        <f t="shared" si="59"/>
        <v>0</v>
      </c>
      <c r="AX683" s="29">
        <f t="shared" si="60"/>
        <v>0</v>
      </c>
      <c r="AY683" s="31" t="s">
        <v>1189</v>
      </c>
      <c r="AZ683" s="31" t="s">
        <v>1114</v>
      </c>
      <c r="BA683" s="11" t="s">
        <v>1044</v>
      </c>
      <c r="BC683" s="29">
        <f t="shared" si="61"/>
        <v>0</v>
      </c>
      <c r="BD683" s="29">
        <f t="shared" si="62"/>
        <v>0</v>
      </c>
      <c r="BE683" s="29">
        <v>0</v>
      </c>
      <c r="BF683" s="29">
        <f>683</f>
        <v>683</v>
      </c>
      <c r="BH683" s="29">
        <f t="shared" si="63"/>
        <v>0</v>
      </c>
      <c r="BI683" s="29">
        <f t="shared" si="64"/>
        <v>0</v>
      </c>
      <c r="BJ683" s="29">
        <f t="shared" si="65"/>
        <v>0</v>
      </c>
      <c r="BK683" s="29"/>
      <c r="BL683" s="29"/>
      <c r="BW683" s="29">
        <v>21</v>
      </c>
      <c r="BX683" s="5" t="s">
        <v>1203</v>
      </c>
    </row>
    <row r="684" spans="1:76" ht="14.4" x14ac:dyDescent="0.3">
      <c r="A684" s="2" t="s">
        <v>1204</v>
      </c>
      <c r="B684" s="3" t="s">
        <v>1205</v>
      </c>
      <c r="C684" s="87" t="s">
        <v>1206</v>
      </c>
      <c r="D684" s="84"/>
      <c r="E684" s="3" t="s">
        <v>350</v>
      </c>
      <c r="F684" s="29">
        <v>10</v>
      </c>
      <c r="G684" s="29">
        <v>0</v>
      </c>
      <c r="H684" s="29">
        <f t="shared" si="44"/>
        <v>0</v>
      </c>
      <c r="I684" s="29">
        <f t="shared" si="45"/>
        <v>0</v>
      </c>
      <c r="J684" s="29">
        <f t="shared" si="46"/>
        <v>0</v>
      </c>
      <c r="K684" s="30" t="s">
        <v>60</v>
      </c>
      <c r="Z684" s="29">
        <f t="shared" si="47"/>
        <v>0</v>
      </c>
      <c r="AB684" s="29">
        <f t="shared" si="48"/>
        <v>0</v>
      </c>
      <c r="AC684" s="29">
        <f t="shared" si="49"/>
        <v>0</v>
      </c>
      <c r="AD684" s="29">
        <f t="shared" si="50"/>
        <v>0</v>
      </c>
      <c r="AE684" s="29">
        <f t="shared" si="51"/>
        <v>0</v>
      </c>
      <c r="AF684" s="29">
        <f t="shared" si="52"/>
        <v>0</v>
      </c>
      <c r="AG684" s="29">
        <f t="shared" si="53"/>
        <v>0</v>
      </c>
      <c r="AH684" s="29">
        <f t="shared" si="54"/>
        <v>0</v>
      </c>
      <c r="AI684" s="11" t="s">
        <v>1039</v>
      </c>
      <c r="AJ684" s="29">
        <f t="shared" si="55"/>
        <v>0</v>
      </c>
      <c r="AK684" s="29">
        <f t="shared" si="56"/>
        <v>0</v>
      </c>
      <c r="AL684" s="29">
        <f t="shared" si="57"/>
        <v>0</v>
      </c>
      <c r="AN684" s="29">
        <v>21</v>
      </c>
      <c r="AO684" s="29">
        <f>G684*0.854812398</f>
        <v>0</v>
      </c>
      <c r="AP684" s="29">
        <f>G684*(1-0.854812398)</f>
        <v>0</v>
      </c>
      <c r="AQ684" s="31" t="s">
        <v>70</v>
      </c>
      <c r="AV684" s="29">
        <f t="shared" si="58"/>
        <v>0</v>
      </c>
      <c r="AW684" s="29">
        <f t="shared" si="59"/>
        <v>0</v>
      </c>
      <c r="AX684" s="29">
        <f t="shared" si="60"/>
        <v>0</v>
      </c>
      <c r="AY684" s="31" t="s">
        <v>1189</v>
      </c>
      <c r="AZ684" s="31" t="s">
        <v>1114</v>
      </c>
      <c r="BA684" s="11" t="s">
        <v>1044</v>
      </c>
      <c r="BC684" s="29">
        <f t="shared" si="61"/>
        <v>0</v>
      </c>
      <c r="BD684" s="29">
        <f t="shared" si="62"/>
        <v>0</v>
      </c>
      <c r="BE684" s="29">
        <v>0</v>
      </c>
      <c r="BF684" s="29">
        <f>684</f>
        <v>684</v>
      </c>
      <c r="BH684" s="29">
        <f t="shared" si="63"/>
        <v>0</v>
      </c>
      <c r="BI684" s="29">
        <f t="shared" si="64"/>
        <v>0</v>
      </c>
      <c r="BJ684" s="29">
        <f t="shared" si="65"/>
        <v>0</v>
      </c>
      <c r="BK684" s="29"/>
      <c r="BL684" s="29"/>
      <c r="BW684" s="29">
        <v>21</v>
      </c>
      <c r="BX684" s="5" t="s">
        <v>1206</v>
      </c>
    </row>
    <row r="685" spans="1:76" ht="14.4" x14ac:dyDescent="0.3">
      <c r="A685" s="2" t="s">
        <v>1207</v>
      </c>
      <c r="B685" s="3" t="s">
        <v>1205</v>
      </c>
      <c r="C685" s="87" t="s">
        <v>1208</v>
      </c>
      <c r="D685" s="84"/>
      <c r="E685" s="3" t="s">
        <v>350</v>
      </c>
      <c r="F685" s="29">
        <v>60</v>
      </c>
      <c r="G685" s="29">
        <v>0</v>
      </c>
      <c r="H685" s="29">
        <f t="shared" si="44"/>
        <v>0</v>
      </c>
      <c r="I685" s="29">
        <f t="shared" si="45"/>
        <v>0</v>
      </c>
      <c r="J685" s="29">
        <f t="shared" si="46"/>
        <v>0</v>
      </c>
      <c r="K685" s="30" t="s">
        <v>60</v>
      </c>
      <c r="Z685" s="29">
        <f t="shared" si="47"/>
        <v>0</v>
      </c>
      <c r="AB685" s="29">
        <f t="shared" si="48"/>
        <v>0</v>
      </c>
      <c r="AC685" s="29">
        <f t="shared" si="49"/>
        <v>0</v>
      </c>
      <c r="AD685" s="29">
        <f t="shared" si="50"/>
        <v>0</v>
      </c>
      <c r="AE685" s="29">
        <f t="shared" si="51"/>
        <v>0</v>
      </c>
      <c r="AF685" s="29">
        <f t="shared" si="52"/>
        <v>0</v>
      </c>
      <c r="AG685" s="29">
        <f t="shared" si="53"/>
        <v>0</v>
      </c>
      <c r="AH685" s="29">
        <f t="shared" si="54"/>
        <v>0</v>
      </c>
      <c r="AI685" s="11" t="s">
        <v>1039</v>
      </c>
      <c r="AJ685" s="29">
        <f t="shared" si="55"/>
        <v>0</v>
      </c>
      <c r="AK685" s="29">
        <f t="shared" si="56"/>
        <v>0</v>
      </c>
      <c r="AL685" s="29">
        <f t="shared" si="57"/>
        <v>0</v>
      </c>
      <c r="AN685" s="29">
        <v>21</v>
      </c>
      <c r="AO685" s="29">
        <f>G685*0.291139241</f>
        <v>0</v>
      </c>
      <c r="AP685" s="29">
        <f>G685*(1-0.291139241)</f>
        <v>0</v>
      </c>
      <c r="AQ685" s="31" t="s">
        <v>70</v>
      </c>
      <c r="AV685" s="29">
        <f t="shared" si="58"/>
        <v>0</v>
      </c>
      <c r="AW685" s="29">
        <f t="shared" si="59"/>
        <v>0</v>
      </c>
      <c r="AX685" s="29">
        <f t="shared" si="60"/>
        <v>0</v>
      </c>
      <c r="AY685" s="31" t="s">
        <v>1189</v>
      </c>
      <c r="AZ685" s="31" t="s">
        <v>1114</v>
      </c>
      <c r="BA685" s="11" t="s">
        <v>1044</v>
      </c>
      <c r="BC685" s="29">
        <f t="shared" si="61"/>
        <v>0</v>
      </c>
      <c r="BD685" s="29">
        <f t="shared" si="62"/>
        <v>0</v>
      </c>
      <c r="BE685" s="29">
        <v>0</v>
      </c>
      <c r="BF685" s="29">
        <f>685</f>
        <v>685</v>
      </c>
      <c r="BH685" s="29">
        <f t="shared" si="63"/>
        <v>0</v>
      </c>
      <c r="BI685" s="29">
        <f t="shared" si="64"/>
        <v>0</v>
      </c>
      <c r="BJ685" s="29">
        <f t="shared" si="65"/>
        <v>0</v>
      </c>
      <c r="BK685" s="29"/>
      <c r="BL685" s="29"/>
      <c r="BW685" s="29">
        <v>21</v>
      </c>
      <c r="BX685" s="5" t="s">
        <v>1208</v>
      </c>
    </row>
    <row r="686" spans="1:76" ht="14.4" x14ac:dyDescent="0.3">
      <c r="A686" s="2" t="s">
        <v>1209</v>
      </c>
      <c r="B686" s="3" t="s">
        <v>1210</v>
      </c>
      <c r="C686" s="87" t="s">
        <v>1211</v>
      </c>
      <c r="D686" s="84"/>
      <c r="E686" s="3" t="s">
        <v>350</v>
      </c>
      <c r="F686" s="29">
        <v>10</v>
      </c>
      <c r="G686" s="29">
        <v>0</v>
      </c>
      <c r="H686" s="29">
        <f t="shared" si="44"/>
        <v>0</v>
      </c>
      <c r="I686" s="29">
        <f t="shared" si="45"/>
        <v>0</v>
      </c>
      <c r="J686" s="29">
        <f t="shared" si="46"/>
        <v>0</v>
      </c>
      <c r="K686" s="30" t="s">
        <v>60</v>
      </c>
      <c r="Z686" s="29">
        <f t="shared" si="47"/>
        <v>0</v>
      </c>
      <c r="AB686" s="29">
        <f t="shared" si="48"/>
        <v>0</v>
      </c>
      <c r="AC686" s="29">
        <f t="shared" si="49"/>
        <v>0</v>
      </c>
      <c r="AD686" s="29">
        <f t="shared" si="50"/>
        <v>0</v>
      </c>
      <c r="AE686" s="29">
        <f t="shared" si="51"/>
        <v>0</v>
      </c>
      <c r="AF686" s="29">
        <f t="shared" si="52"/>
        <v>0</v>
      </c>
      <c r="AG686" s="29">
        <f t="shared" si="53"/>
        <v>0</v>
      </c>
      <c r="AH686" s="29">
        <f t="shared" si="54"/>
        <v>0</v>
      </c>
      <c r="AI686" s="11" t="s">
        <v>1039</v>
      </c>
      <c r="AJ686" s="29">
        <f t="shared" si="55"/>
        <v>0</v>
      </c>
      <c r="AK686" s="29">
        <f t="shared" si="56"/>
        <v>0</v>
      </c>
      <c r="AL686" s="29">
        <f t="shared" si="57"/>
        <v>0</v>
      </c>
      <c r="AN686" s="29">
        <v>21</v>
      </c>
      <c r="AO686" s="29">
        <f>G686*0.754189944</f>
        <v>0</v>
      </c>
      <c r="AP686" s="29">
        <f>G686*(1-0.754189944)</f>
        <v>0</v>
      </c>
      <c r="AQ686" s="31" t="s">
        <v>70</v>
      </c>
      <c r="AV686" s="29">
        <f t="shared" si="58"/>
        <v>0</v>
      </c>
      <c r="AW686" s="29">
        <f t="shared" si="59"/>
        <v>0</v>
      </c>
      <c r="AX686" s="29">
        <f t="shared" si="60"/>
        <v>0</v>
      </c>
      <c r="AY686" s="31" t="s">
        <v>1189</v>
      </c>
      <c r="AZ686" s="31" t="s">
        <v>1114</v>
      </c>
      <c r="BA686" s="11" t="s">
        <v>1044</v>
      </c>
      <c r="BC686" s="29">
        <f t="shared" si="61"/>
        <v>0</v>
      </c>
      <c r="BD686" s="29">
        <f t="shared" si="62"/>
        <v>0</v>
      </c>
      <c r="BE686" s="29">
        <v>0</v>
      </c>
      <c r="BF686" s="29">
        <f>686</f>
        <v>686</v>
      </c>
      <c r="BH686" s="29">
        <f t="shared" si="63"/>
        <v>0</v>
      </c>
      <c r="BI686" s="29">
        <f t="shared" si="64"/>
        <v>0</v>
      </c>
      <c r="BJ686" s="29">
        <f t="shared" si="65"/>
        <v>0</v>
      </c>
      <c r="BK686" s="29"/>
      <c r="BL686" s="29"/>
      <c r="BW686" s="29">
        <v>21</v>
      </c>
      <c r="BX686" s="5" t="s">
        <v>1211</v>
      </c>
    </row>
    <row r="687" spans="1:76" ht="14.4" x14ac:dyDescent="0.3">
      <c r="A687" s="2" t="s">
        <v>1212</v>
      </c>
      <c r="B687" s="3" t="s">
        <v>1210</v>
      </c>
      <c r="C687" s="87" t="s">
        <v>1213</v>
      </c>
      <c r="D687" s="84"/>
      <c r="E687" s="3" t="s">
        <v>350</v>
      </c>
      <c r="F687" s="29">
        <v>40</v>
      </c>
      <c r="G687" s="29">
        <v>0</v>
      </c>
      <c r="H687" s="29">
        <f t="shared" si="44"/>
        <v>0</v>
      </c>
      <c r="I687" s="29">
        <f t="shared" si="45"/>
        <v>0</v>
      </c>
      <c r="J687" s="29">
        <f t="shared" si="46"/>
        <v>0</v>
      </c>
      <c r="K687" s="30" t="s">
        <v>60</v>
      </c>
      <c r="Z687" s="29">
        <f t="shared" si="47"/>
        <v>0</v>
      </c>
      <c r="AB687" s="29">
        <f t="shared" si="48"/>
        <v>0</v>
      </c>
      <c r="AC687" s="29">
        <f t="shared" si="49"/>
        <v>0</v>
      </c>
      <c r="AD687" s="29">
        <f t="shared" si="50"/>
        <v>0</v>
      </c>
      <c r="AE687" s="29">
        <f t="shared" si="51"/>
        <v>0</v>
      </c>
      <c r="AF687" s="29">
        <f t="shared" si="52"/>
        <v>0</v>
      </c>
      <c r="AG687" s="29">
        <f t="shared" si="53"/>
        <v>0</v>
      </c>
      <c r="AH687" s="29">
        <f t="shared" si="54"/>
        <v>0</v>
      </c>
      <c r="AI687" s="11" t="s">
        <v>1039</v>
      </c>
      <c r="AJ687" s="29">
        <f t="shared" si="55"/>
        <v>0</v>
      </c>
      <c r="AK687" s="29">
        <f t="shared" si="56"/>
        <v>0</v>
      </c>
      <c r="AL687" s="29">
        <f t="shared" si="57"/>
        <v>0</v>
      </c>
      <c r="AN687" s="29">
        <v>21</v>
      </c>
      <c r="AO687" s="29">
        <f>G687*0.595744681</f>
        <v>0</v>
      </c>
      <c r="AP687" s="29">
        <f>G687*(1-0.595744681)</f>
        <v>0</v>
      </c>
      <c r="AQ687" s="31" t="s">
        <v>70</v>
      </c>
      <c r="AV687" s="29">
        <f t="shared" si="58"/>
        <v>0</v>
      </c>
      <c r="AW687" s="29">
        <f t="shared" si="59"/>
        <v>0</v>
      </c>
      <c r="AX687" s="29">
        <f t="shared" si="60"/>
        <v>0</v>
      </c>
      <c r="AY687" s="31" t="s">
        <v>1189</v>
      </c>
      <c r="AZ687" s="31" t="s">
        <v>1114</v>
      </c>
      <c r="BA687" s="11" t="s">
        <v>1044</v>
      </c>
      <c r="BC687" s="29">
        <f t="shared" si="61"/>
        <v>0</v>
      </c>
      <c r="BD687" s="29">
        <f t="shared" si="62"/>
        <v>0</v>
      </c>
      <c r="BE687" s="29">
        <v>0</v>
      </c>
      <c r="BF687" s="29">
        <f>687</f>
        <v>687</v>
      </c>
      <c r="BH687" s="29">
        <f t="shared" si="63"/>
        <v>0</v>
      </c>
      <c r="BI687" s="29">
        <f t="shared" si="64"/>
        <v>0</v>
      </c>
      <c r="BJ687" s="29">
        <f t="shared" si="65"/>
        <v>0</v>
      </c>
      <c r="BK687" s="29"/>
      <c r="BL687" s="29"/>
      <c r="BW687" s="29">
        <v>21</v>
      </c>
      <c r="BX687" s="5" t="s">
        <v>1213</v>
      </c>
    </row>
    <row r="688" spans="1:76" ht="14.4" x14ac:dyDescent="0.3">
      <c r="A688" s="2" t="s">
        <v>1214</v>
      </c>
      <c r="B688" s="3" t="s">
        <v>1210</v>
      </c>
      <c r="C688" s="87" t="s">
        <v>1215</v>
      </c>
      <c r="D688" s="84"/>
      <c r="E688" s="3" t="s">
        <v>350</v>
      </c>
      <c r="F688" s="29">
        <v>64</v>
      </c>
      <c r="G688" s="29">
        <v>0</v>
      </c>
      <c r="H688" s="29">
        <f t="shared" si="44"/>
        <v>0</v>
      </c>
      <c r="I688" s="29">
        <f t="shared" si="45"/>
        <v>0</v>
      </c>
      <c r="J688" s="29">
        <f t="shared" si="46"/>
        <v>0</v>
      </c>
      <c r="K688" s="30" t="s">
        <v>60</v>
      </c>
      <c r="Z688" s="29">
        <f t="shared" si="47"/>
        <v>0</v>
      </c>
      <c r="AB688" s="29">
        <f t="shared" si="48"/>
        <v>0</v>
      </c>
      <c r="AC688" s="29">
        <f t="shared" si="49"/>
        <v>0</v>
      </c>
      <c r="AD688" s="29">
        <f t="shared" si="50"/>
        <v>0</v>
      </c>
      <c r="AE688" s="29">
        <f t="shared" si="51"/>
        <v>0</v>
      </c>
      <c r="AF688" s="29">
        <f t="shared" si="52"/>
        <v>0</v>
      </c>
      <c r="AG688" s="29">
        <f t="shared" si="53"/>
        <v>0</v>
      </c>
      <c r="AH688" s="29">
        <f t="shared" si="54"/>
        <v>0</v>
      </c>
      <c r="AI688" s="11" t="s">
        <v>1039</v>
      </c>
      <c r="AJ688" s="29">
        <f t="shared" si="55"/>
        <v>0</v>
      </c>
      <c r="AK688" s="29">
        <f t="shared" si="56"/>
        <v>0</v>
      </c>
      <c r="AL688" s="29">
        <f t="shared" si="57"/>
        <v>0</v>
      </c>
      <c r="AN688" s="29">
        <v>21</v>
      </c>
      <c r="AO688" s="29">
        <f>G688*0.469273743</f>
        <v>0</v>
      </c>
      <c r="AP688" s="29">
        <f>G688*(1-0.469273743)</f>
        <v>0</v>
      </c>
      <c r="AQ688" s="31" t="s">
        <v>70</v>
      </c>
      <c r="AV688" s="29">
        <f t="shared" si="58"/>
        <v>0</v>
      </c>
      <c r="AW688" s="29">
        <f t="shared" si="59"/>
        <v>0</v>
      </c>
      <c r="AX688" s="29">
        <f t="shared" si="60"/>
        <v>0</v>
      </c>
      <c r="AY688" s="31" t="s">
        <v>1189</v>
      </c>
      <c r="AZ688" s="31" t="s">
        <v>1114</v>
      </c>
      <c r="BA688" s="11" t="s">
        <v>1044</v>
      </c>
      <c r="BC688" s="29">
        <f t="shared" si="61"/>
        <v>0</v>
      </c>
      <c r="BD688" s="29">
        <f t="shared" si="62"/>
        <v>0</v>
      </c>
      <c r="BE688" s="29">
        <v>0</v>
      </c>
      <c r="BF688" s="29">
        <f>688</f>
        <v>688</v>
      </c>
      <c r="BH688" s="29">
        <f t="shared" si="63"/>
        <v>0</v>
      </c>
      <c r="BI688" s="29">
        <f t="shared" si="64"/>
        <v>0</v>
      </c>
      <c r="BJ688" s="29">
        <f t="shared" si="65"/>
        <v>0</v>
      </c>
      <c r="BK688" s="29"/>
      <c r="BL688" s="29"/>
      <c r="BW688" s="29">
        <v>21</v>
      </c>
      <c r="BX688" s="5" t="s">
        <v>1215</v>
      </c>
    </row>
    <row r="689" spans="1:76" ht="14.4" x14ac:dyDescent="0.3">
      <c r="A689" s="2" t="s">
        <v>1216</v>
      </c>
      <c r="B689" s="3" t="s">
        <v>1217</v>
      </c>
      <c r="C689" s="87" t="s">
        <v>1218</v>
      </c>
      <c r="D689" s="84"/>
      <c r="E689" s="3" t="s">
        <v>350</v>
      </c>
      <c r="F689" s="29">
        <v>10</v>
      </c>
      <c r="G689" s="29">
        <v>0</v>
      </c>
      <c r="H689" s="29">
        <f t="shared" si="44"/>
        <v>0</v>
      </c>
      <c r="I689" s="29">
        <f t="shared" si="45"/>
        <v>0</v>
      </c>
      <c r="J689" s="29">
        <f t="shared" si="46"/>
        <v>0</v>
      </c>
      <c r="K689" s="30" t="s">
        <v>351</v>
      </c>
      <c r="Z689" s="29">
        <f t="shared" si="47"/>
        <v>0</v>
      </c>
      <c r="AB689" s="29">
        <f t="shared" si="48"/>
        <v>0</v>
      </c>
      <c r="AC689" s="29">
        <f t="shared" si="49"/>
        <v>0</v>
      </c>
      <c r="AD689" s="29">
        <f t="shared" si="50"/>
        <v>0</v>
      </c>
      <c r="AE689" s="29">
        <f t="shared" si="51"/>
        <v>0</v>
      </c>
      <c r="AF689" s="29">
        <f t="shared" si="52"/>
        <v>0</v>
      </c>
      <c r="AG689" s="29">
        <f t="shared" si="53"/>
        <v>0</v>
      </c>
      <c r="AH689" s="29">
        <f t="shared" si="54"/>
        <v>0</v>
      </c>
      <c r="AI689" s="11" t="s">
        <v>1039</v>
      </c>
      <c r="AJ689" s="29">
        <f t="shared" si="55"/>
        <v>0</v>
      </c>
      <c r="AK689" s="29">
        <f t="shared" si="56"/>
        <v>0</v>
      </c>
      <c r="AL689" s="29">
        <f t="shared" si="57"/>
        <v>0</v>
      </c>
      <c r="AN689" s="29">
        <v>21</v>
      </c>
      <c r="AO689" s="29">
        <f>G689*0.555555556</f>
        <v>0</v>
      </c>
      <c r="AP689" s="29">
        <f>G689*(1-0.555555556)</f>
        <v>0</v>
      </c>
      <c r="AQ689" s="31" t="s">
        <v>70</v>
      </c>
      <c r="AV689" s="29">
        <f t="shared" si="58"/>
        <v>0</v>
      </c>
      <c r="AW689" s="29">
        <f t="shared" si="59"/>
        <v>0</v>
      </c>
      <c r="AX689" s="29">
        <f t="shared" si="60"/>
        <v>0</v>
      </c>
      <c r="AY689" s="31" t="s">
        <v>1189</v>
      </c>
      <c r="AZ689" s="31" t="s">
        <v>1114</v>
      </c>
      <c r="BA689" s="11" t="s">
        <v>1044</v>
      </c>
      <c r="BC689" s="29">
        <f t="shared" si="61"/>
        <v>0</v>
      </c>
      <c r="BD689" s="29">
        <f t="shared" si="62"/>
        <v>0</v>
      </c>
      <c r="BE689" s="29">
        <v>0</v>
      </c>
      <c r="BF689" s="29">
        <f>689</f>
        <v>689</v>
      </c>
      <c r="BH689" s="29">
        <f t="shared" si="63"/>
        <v>0</v>
      </c>
      <c r="BI689" s="29">
        <f t="shared" si="64"/>
        <v>0</v>
      </c>
      <c r="BJ689" s="29">
        <f t="shared" si="65"/>
        <v>0</v>
      </c>
      <c r="BK689" s="29"/>
      <c r="BL689" s="29"/>
      <c r="BW689" s="29">
        <v>21</v>
      </c>
      <c r="BX689" s="5" t="s">
        <v>1218</v>
      </c>
    </row>
    <row r="690" spans="1:76" ht="14.4" x14ac:dyDescent="0.3">
      <c r="A690" s="2" t="s">
        <v>1219</v>
      </c>
      <c r="B690" s="3" t="s">
        <v>1220</v>
      </c>
      <c r="C690" s="87" t="s">
        <v>1221</v>
      </c>
      <c r="D690" s="84"/>
      <c r="E690" s="3" t="s">
        <v>350</v>
      </c>
      <c r="F690" s="29">
        <v>24</v>
      </c>
      <c r="G690" s="29">
        <v>0</v>
      </c>
      <c r="H690" s="29">
        <f t="shared" si="44"/>
        <v>0</v>
      </c>
      <c r="I690" s="29">
        <f t="shared" si="45"/>
        <v>0</v>
      </c>
      <c r="J690" s="29">
        <f t="shared" si="46"/>
        <v>0</v>
      </c>
      <c r="K690" s="30" t="s">
        <v>351</v>
      </c>
      <c r="Z690" s="29">
        <f t="shared" si="47"/>
        <v>0</v>
      </c>
      <c r="AB690" s="29">
        <f t="shared" si="48"/>
        <v>0</v>
      </c>
      <c r="AC690" s="29">
        <f t="shared" si="49"/>
        <v>0</v>
      </c>
      <c r="AD690" s="29">
        <f t="shared" si="50"/>
        <v>0</v>
      </c>
      <c r="AE690" s="29">
        <f t="shared" si="51"/>
        <v>0</v>
      </c>
      <c r="AF690" s="29">
        <f t="shared" si="52"/>
        <v>0</v>
      </c>
      <c r="AG690" s="29">
        <f t="shared" si="53"/>
        <v>0</v>
      </c>
      <c r="AH690" s="29">
        <f t="shared" si="54"/>
        <v>0</v>
      </c>
      <c r="AI690" s="11" t="s">
        <v>1039</v>
      </c>
      <c r="AJ690" s="29">
        <f t="shared" si="55"/>
        <v>0</v>
      </c>
      <c r="AK690" s="29">
        <f t="shared" si="56"/>
        <v>0</v>
      </c>
      <c r="AL690" s="29">
        <f t="shared" si="57"/>
        <v>0</v>
      </c>
      <c r="AN690" s="29">
        <v>21</v>
      </c>
      <c r="AO690" s="29">
        <f>G690*0.5</f>
        <v>0</v>
      </c>
      <c r="AP690" s="29">
        <f>G690*(1-0.5)</f>
        <v>0</v>
      </c>
      <c r="AQ690" s="31" t="s">
        <v>70</v>
      </c>
      <c r="AV690" s="29">
        <f t="shared" si="58"/>
        <v>0</v>
      </c>
      <c r="AW690" s="29">
        <f t="shared" si="59"/>
        <v>0</v>
      </c>
      <c r="AX690" s="29">
        <f t="shared" si="60"/>
        <v>0</v>
      </c>
      <c r="AY690" s="31" t="s">
        <v>1189</v>
      </c>
      <c r="AZ690" s="31" t="s">
        <v>1114</v>
      </c>
      <c r="BA690" s="11" t="s">
        <v>1044</v>
      </c>
      <c r="BC690" s="29">
        <f t="shared" si="61"/>
        <v>0</v>
      </c>
      <c r="BD690" s="29">
        <f t="shared" si="62"/>
        <v>0</v>
      </c>
      <c r="BE690" s="29">
        <v>0</v>
      </c>
      <c r="BF690" s="29">
        <f>690</f>
        <v>690</v>
      </c>
      <c r="BH690" s="29">
        <f t="shared" si="63"/>
        <v>0</v>
      </c>
      <c r="BI690" s="29">
        <f t="shared" si="64"/>
        <v>0</v>
      </c>
      <c r="BJ690" s="29">
        <f t="shared" si="65"/>
        <v>0</v>
      </c>
      <c r="BK690" s="29"/>
      <c r="BL690" s="29"/>
      <c r="BW690" s="29">
        <v>21</v>
      </c>
      <c r="BX690" s="5" t="s">
        <v>1221</v>
      </c>
    </row>
    <row r="691" spans="1:76" ht="14.4" x14ac:dyDescent="0.3">
      <c r="A691" s="2" t="s">
        <v>1222</v>
      </c>
      <c r="B691" s="3" t="s">
        <v>1223</v>
      </c>
      <c r="C691" s="87" t="s">
        <v>1224</v>
      </c>
      <c r="D691" s="84"/>
      <c r="E691" s="3" t="s">
        <v>350</v>
      </c>
      <c r="F691" s="29">
        <v>80</v>
      </c>
      <c r="G691" s="29">
        <v>0</v>
      </c>
      <c r="H691" s="29">
        <f t="shared" si="44"/>
        <v>0</v>
      </c>
      <c r="I691" s="29">
        <f t="shared" si="45"/>
        <v>0</v>
      </c>
      <c r="J691" s="29">
        <f t="shared" si="46"/>
        <v>0</v>
      </c>
      <c r="K691" s="30" t="s">
        <v>250</v>
      </c>
      <c r="Z691" s="29">
        <f t="shared" si="47"/>
        <v>0</v>
      </c>
      <c r="AB691" s="29">
        <f t="shared" si="48"/>
        <v>0</v>
      </c>
      <c r="AC691" s="29">
        <f t="shared" si="49"/>
        <v>0</v>
      </c>
      <c r="AD691" s="29">
        <f t="shared" si="50"/>
        <v>0</v>
      </c>
      <c r="AE691" s="29">
        <f t="shared" si="51"/>
        <v>0</v>
      </c>
      <c r="AF691" s="29">
        <f t="shared" si="52"/>
        <v>0</v>
      </c>
      <c r="AG691" s="29">
        <f t="shared" si="53"/>
        <v>0</v>
      </c>
      <c r="AH691" s="29">
        <f t="shared" si="54"/>
        <v>0</v>
      </c>
      <c r="AI691" s="11" t="s">
        <v>1039</v>
      </c>
      <c r="AJ691" s="29">
        <f t="shared" si="55"/>
        <v>0</v>
      </c>
      <c r="AK691" s="29">
        <f t="shared" si="56"/>
        <v>0</v>
      </c>
      <c r="AL691" s="29">
        <f t="shared" si="57"/>
        <v>0</v>
      </c>
      <c r="AN691" s="29">
        <v>21</v>
      </c>
      <c r="AO691" s="29">
        <f>G691*0.375</f>
        <v>0</v>
      </c>
      <c r="AP691" s="29">
        <f>G691*(1-0.375)</f>
        <v>0</v>
      </c>
      <c r="AQ691" s="31" t="s">
        <v>70</v>
      </c>
      <c r="AV691" s="29">
        <f t="shared" si="58"/>
        <v>0</v>
      </c>
      <c r="AW691" s="29">
        <f t="shared" si="59"/>
        <v>0</v>
      </c>
      <c r="AX691" s="29">
        <f t="shared" si="60"/>
        <v>0</v>
      </c>
      <c r="AY691" s="31" t="s">
        <v>1189</v>
      </c>
      <c r="AZ691" s="31" t="s">
        <v>1114</v>
      </c>
      <c r="BA691" s="11" t="s">
        <v>1044</v>
      </c>
      <c r="BC691" s="29">
        <f t="shared" si="61"/>
        <v>0</v>
      </c>
      <c r="BD691" s="29">
        <f t="shared" si="62"/>
        <v>0</v>
      </c>
      <c r="BE691" s="29">
        <v>0</v>
      </c>
      <c r="BF691" s="29">
        <f>691</f>
        <v>691</v>
      </c>
      <c r="BH691" s="29">
        <f t="shared" si="63"/>
        <v>0</v>
      </c>
      <c r="BI691" s="29">
        <f t="shared" si="64"/>
        <v>0</v>
      </c>
      <c r="BJ691" s="29">
        <f t="shared" si="65"/>
        <v>0</v>
      </c>
      <c r="BK691" s="29"/>
      <c r="BL691" s="29"/>
      <c r="BW691" s="29">
        <v>21</v>
      </c>
      <c r="BX691" s="5" t="s">
        <v>1224</v>
      </c>
    </row>
    <row r="692" spans="1:76" ht="14.4" x14ac:dyDescent="0.3">
      <c r="A692" s="2" t="s">
        <v>1225</v>
      </c>
      <c r="B692" s="3" t="s">
        <v>1226</v>
      </c>
      <c r="C692" s="87" t="s">
        <v>1227</v>
      </c>
      <c r="D692" s="84"/>
      <c r="E692" s="3" t="s">
        <v>350</v>
      </c>
      <c r="F692" s="29">
        <v>30</v>
      </c>
      <c r="G692" s="29">
        <v>0</v>
      </c>
      <c r="H692" s="29">
        <f t="shared" si="44"/>
        <v>0</v>
      </c>
      <c r="I692" s="29">
        <f t="shared" si="45"/>
        <v>0</v>
      </c>
      <c r="J692" s="29">
        <f t="shared" si="46"/>
        <v>0</v>
      </c>
      <c r="K692" s="30" t="s">
        <v>351</v>
      </c>
      <c r="Z692" s="29">
        <f t="shared" si="47"/>
        <v>0</v>
      </c>
      <c r="AB692" s="29">
        <f t="shared" si="48"/>
        <v>0</v>
      </c>
      <c r="AC692" s="29">
        <f t="shared" si="49"/>
        <v>0</v>
      </c>
      <c r="AD692" s="29">
        <f t="shared" si="50"/>
        <v>0</v>
      </c>
      <c r="AE692" s="29">
        <f t="shared" si="51"/>
        <v>0</v>
      </c>
      <c r="AF692" s="29">
        <f t="shared" si="52"/>
        <v>0</v>
      </c>
      <c r="AG692" s="29">
        <f t="shared" si="53"/>
        <v>0</v>
      </c>
      <c r="AH692" s="29">
        <f t="shared" si="54"/>
        <v>0</v>
      </c>
      <c r="AI692" s="11" t="s">
        <v>1039</v>
      </c>
      <c r="AJ692" s="29">
        <f t="shared" si="55"/>
        <v>0</v>
      </c>
      <c r="AK692" s="29">
        <f t="shared" si="56"/>
        <v>0</v>
      </c>
      <c r="AL692" s="29">
        <f t="shared" si="57"/>
        <v>0</v>
      </c>
      <c r="AN692" s="29">
        <v>21</v>
      </c>
      <c r="AO692" s="29">
        <f>G692*0.425837321</f>
        <v>0</v>
      </c>
      <c r="AP692" s="29">
        <f>G692*(1-0.425837321)</f>
        <v>0</v>
      </c>
      <c r="AQ692" s="31" t="s">
        <v>70</v>
      </c>
      <c r="AV692" s="29">
        <f t="shared" si="58"/>
        <v>0</v>
      </c>
      <c r="AW692" s="29">
        <f t="shared" si="59"/>
        <v>0</v>
      </c>
      <c r="AX692" s="29">
        <f t="shared" si="60"/>
        <v>0</v>
      </c>
      <c r="AY692" s="31" t="s">
        <v>1189</v>
      </c>
      <c r="AZ692" s="31" t="s">
        <v>1114</v>
      </c>
      <c r="BA692" s="11" t="s">
        <v>1044</v>
      </c>
      <c r="BC692" s="29">
        <f t="shared" si="61"/>
        <v>0</v>
      </c>
      <c r="BD692" s="29">
        <f t="shared" si="62"/>
        <v>0</v>
      </c>
      <c r="BE692" s="29">
        <v>0</v>
      </c>
      <c r="BF692" s="29">
        <f>692</f>
        <v>692</v>
      </c>
      <c r="BH692" s="29">
        <f t="shared" si="63"/>
        <v>0</v>
      </c>
      <c r="BI692" s="29">
        <f t="shared" si="64"/>
        <v>0</v>
      </c>
      <c r="BJ692" s="29">
        <f t="shared" si="65"/>
        <v>0</v>
      </c>
      <c r="BK692" s="29"/>
      <c r="BL692" s="29"/>
      <c r="BW692" s="29">
        <v>21</v>
      </c>
      <c r="BX692" s="5" t="s">
        <v>1227</v>
      </c>
    </row>
    <row r="693" spans="1:76" ht="14.4" x14ac:dyDescent="0.3">
      <c r="A693" s="2" t="s">
        <v>1228</v>
      </c>
      <c r="B693" s="3" t="s">
        <v>1229</v>
      </c>
      <c r="C693" s="87" t="s">
        <v>1230</v>
      </c>
      <c r="D693" s="84"/>
      <c r="E693" s="3" t="s">
        <v>350</v>
      </c>
      <c r="F693" s="29">
        <v>1</v>
      </c>
      <c r="G693" s="29">
        <v>0</v>
      </c>
      <c r="H693" s="29">
        <f t="shared" si="44"/>
        <v>0</v>
      </c>
      <c r="I693" s="29">
        <f t="shared" si="45"/>
        <v>0</v>
      </c>
      <c r="J693" s="29">
        <f t="shared" si="46"/>
        <v>0</v>
      </c>
      <c r="K693" s="30" t="s">
        <v>351</v>
      </c>
      <c r="Z693" s="29">
        <f t="shared" si="47"/>
        <v>0</v>
      </c>
      <c r="AB693" s="29">
        <f t="shared" si="48"/>
        <v>0</v>
      </c>
      <c r="AC693" s="29">
        <f t="shared" si="49"/>
        <v>0</v>
      </c>
      <c r="AD693" s="29">
        <f t="shared" si="50"/>
        <v>0</v>
      </c>
      <c r="AE693" s="29">
        <f t="shared" si="51"/>
        <v>0</v>
      </c>
      <c r="AF693" s="29">
        <f t="shared" si="52"/>
        <v>0</v>
      </c>
      <c r="AG693" s="29">
        <f t="shared" si="53"/>
        <v>0</v>
      </c>
      <c r="AH693" s="29">
        <f t="shared" si="54"/>
        <v>0</v>
      </c>
      <c r="AI693" s="11" t="s">
        <v>1039</v>
      </c>
      <c r="AJ693" s="29">
        <f t="shared" si="55"/>
        <v>0</v>
      </c>
      <c r="AK693" s="29">
        <f t="shared" si="56"/>
        <v>0</v>
      </c>
      <c r="AL693" s="29">
        <f t="shared" si="57"/>
        <v>0</v>
      </c>
      <c r="AN693" s="29">
        <v>21</v>
      </c>
      <c r="AO693" s="29">
        <f>G693*0.637681159</f>
        <v>0</v>
      </c>
      <c r="AP693" s="29">
        <f>G693*(1-0.637681159)</f>
        <v>0</v>
      </c>
      <c r="AQ693" s="31" t="s">
        <v>70</v>
      </c>
      <c r="AV693" s="29">
        <f t="shared" si="58"/>
        <v>0</v>
      </c>
      <c r="AW693" s="29">
        <f t="shared" si="59"/>
        <v>0</v>
      </c>
      <c r="AX693" s="29">
        <f t="shared" si="60"/>
        <v>0</v>
      </c>
      <c r="AY693" s="31" t="s">
        <v>1189</v>
      </c>
      <c r="AZ693" s="31" t="s">
        <v>1114</v>
      </c>
      <c r="BA693" s="11" t="s">
        <v>1044</v>
      </c>
      <c r="BC693" s="29">
        <f t="shared" si="61"/>
        <v>0</v>
      </c>
      <c r="BD693" s="29">
        <f t="shared" si="62"/>
        <v>0</v>
      </c>
      <c r="BE693" s="29">
        <v>0</v>
      </c>
      <c r="BF693" s="29">
        <f>693</f>
        <v>693</v>
      </c>
      <c r="BH693" s="29">
        <f t="shared" si="63"/>
        <v>0</v>
      </c>
      <c r="BI693" s="29">
        <f t="shared" si="64"/>
        <v>0</v>
      </c>
      <c r="BJ693" s="29">
        <f t="shared" si="65"/>
        <v>0</v>
      </c>
      <c r="BK693" s="29"/>
      <c r="BL693" s="29"/>
      <c r="BW693" s="29">
        <v>21</v>
      </c>
      <c r="BX693" s="5" t="s">
        <v>1230</v>
      </c>
    </row>
    <row r="694" spans="1:76" ht="14.4" x14ac:dyDescent="0.3">
      <c r="A694" s="2" t="s">
        <v>1231</v>
      </c>
      <c r="B694" s="3" t="s">
        <v>1232</v>
      </c>
      <c r="C694" s="87" t="s">
        <v>1233</v>
      </c>
      <c r="D694" s="84"/>
      <c r="E694" s="3" t="s">
        <v>350</v>
      </c>
      <c r="F694" s="29">
        <v>1</v>
      </c>
      <c r="G694" s="29">
        <v>0</v>
      </c>
      <c r="H694" s="29">
        <f t="shared" si="44"/>
        <v>0</v>
      </c>
      <c r="I694" s="29">
        <f t="shared" si="45"/>
        <v>0</v>
      </c>
      <c r="J694" s="29">
        <f t="shared" si="46"/>
        <v>0</v>
      </c>
      <c r="K694" s="30" t="s">
        <v>351</v>
      </c>
      <c r="Z694" s="29">
        <f t="shared" si="47"/>
        <v>0</v>
      </c>
      <c r="AB694" s="29">
        <f t="shared" si="48"/>
        <v>0</v>
      </c>
      <c r="AC694" s="29">
        <f t="shared" si="49"/>
        <v>0</v>
      </c>
      <c r="AD694" s="29">
        <f t="shared" si="50"/>
        <v>0</v>
      </c>
      <c r="AE694" s="29">
        <f t="shared" si="51"/>
        <v>0</v>
      </c>
      <c r="AF694" s="29">
        <f t="shared" si="52"/>
        <v>0</v>
      </c>
      <c r="AG694" s="29">
        <f t="shared" si="53"/>
        <v>0</v>
      </c>
      <c r="AH694" s="29">
        <f t="shared" si="54"/>
        <v>0</v>
      </c>
      <c r="AI694" s="11" t="s">
        <v>1039</v>
      </c>
      <c r="AJ694" s="29">
        <f t="shared" si="55"/>
        <v>0</v>
      </c>
      <c r="AK694" s="29">
        <f t="shared" si="56"/>
        <v>0</v>
      </c>
      <c r="AL694" s="29">
        <f t="shared" si="57"/>
        <v>0</v>
      </c>
      <c r="AN694" s="29">
        <v>21</v>
      </c>
      <c r="AO694" s="29">
        <f>G694*0.711538462</f>
        <v>0</v>
      </c>
      <c r="AP694" s="29">
        <f>G694*(1-0.711538462)</f>
        <v>0</v>
      </c>
      <c r="AQ694" s="31" t="s">
        <v>70</v>
      </c>
      <c r="AV694" s="29">
        <f t="shared" si="58"/>
        <v>0</v>
      </c>
      <c r="AW694" s="29">
        <f t="shared" si="59"/>
        <v>0</v>
      </c>
      <c r="AX694" s="29">
        <f t="shared" si="60"/>
        <v>0</v>
      </c>
      <c r="AY694" s="31" t="s">
        <v>1189</v>
      </c>
      <c r="AZ694" s="31" t="s">
        <v>1114</v>
      </c>
      <c r="BA694" s="11" t="s">
        <v>1044</v>
      </c>
      <c r="BC694" s="29">
        <f t="shared" si="61"/>
        <v>0</v>
      </c>
      <c r="BD694" s="29">
        <f t="shared" si="62"/>
        <v>0</v>
      </c>
      <c r="BE694" s="29">
        <v>0</v>
      </c>
      <c r="BF694" s="29">
        <f>694</f>
        <v>694</v>
      </c>
      <c r="BH694" s="29">
        <f t="shared" si="63"/>
        <v>0</v>
      </c>
      <c r="BI694" s="29">
        <f t="shared" si="64"/>
        <v>0</v>
      </c>
      <c r="BJ694" s="29">
        <f t="shared" si="65"/>
        <v>0</v>
      </c>
      <c r="BK694" s="29"/>
      <c r="BL694" s="29"/>
      <c r="BW694" s="29">
        <v>21</v>
      </c>
      <c r="BX694" s="5" t="s">
        <v>1233</v>
      </c>
    </row>
    <row r="695" spans="1:76" ht="14.4" x14ac:dyDescent="0.3">
      <c r="A695" s="2" t="s">
        <v>1234</v>
      </c>
      <c r="B695" s="3" t="s">
        <v>1223</v>
      </c>
      <c r="C695" s="87" t="s">
        <v>1235</v>
      </c>
      <c r="D695" s="84"/>
      <c r="E695" s="3" t="s">
        <v>350</v>
      </c>
      <c r="F695" s="29">
        <v>4</v>
      </c>
      <c r="G695" s="29">
        <v>0</v>
      </c>
      <c r="H695" s="29">
        <f t="shared" si="44"/>
        <v>0</v>
      </c>
      <c r="I695" s="29">
        <f t="shared" si="45"/>
        <v>0</v>
      </c>
      <c r="J695" s="29">
        <f t="shared" si="46"/>
        <v>0</v>
      </c>
      <c r="K695" s="30" t="s">
        <v>250</v>
      </c>
      <c r="Z695" s="29">
        <f t="shared" si="47"/>
        <v>0</v>
      </c>
      <c r="AB695" s="29">
        <f t="shared" si="48"/>
        <v>0</v>
      </c>
      <c r="AC695" s="29">
        <f t="shared" si="49"/>
        <v>0</v>
      </c>
      <c r="AD695" s="29">
        <f t="shared" si="50"/>
        <v>0</v>
      </c>
      <c r="AE695" s="29">
        <f t="shared" si="51"/>
        <v>0</v>
      </c>
      <c r="AF695" s="29">
        <f t="shared" si="52"/>
        <v>0</v>
      </c>
      <c r="AG695" s="29">
        <f t="shared" si="53"/>
        <v>0</v>
      </c>
      <c r="AH695" s="29">
        <f t="shared" si="54"/>
        <v>0</v>
      </c>
      <c r="AI695" s="11" t="s">
        <v>1039</v>
      </c>
      <c r="AJ695" s="29">
        <f t="shared" si="55"/>
        <v>0</v>
      </c>
      <c r="AK695" s="29">
        <f t="shared" si="56"/>
        <v>0</v>
      </c>
      <c r="AL695" s="29">
        <f t="shared" si="57"/>
        <v>0</v>
      </c>
      <c r="AN695" s="29">
        <v>21</v>
      </c>
      <c r="AO695" s="29">
        <f>G695*0.5</f>
        <v>0</v>
      </c>
      <c r="AP695" s="29">
        <f>G695*(1-0.5)</f>
        <v>0</v>
      </c>
      <c r="AQ695" s="31" t="s">
        <v>70</v>
      </c>
      <c r="AV695" s="29">
        <f t="shared" si="58"/>
        <v>0</v>
      </c>
      <c r="AW695" s="29">
        <f t="shared" si="59"/>
        <v>0</v>
      </c>
      <c r="AX695" s="29">
        <f t="shared" si="60"/>
        <v>0</v>
      </c>
      <c r="AY695" s="31" t="s">
        <v>1189</v>
      </c>
      <c r="AZ695" s="31" t="s">
        <v>1114</v>
      </c>
      <c r="BA695" s="11" t="s">
        <v>1044</v>
      </c>
      <c r="BC695" s="29">
        <f t="shared" si="61"/>
        <v>0</v>
      </c>
      <c r="BD695" s="29">
        <f t="shared" si="62"/>
        <v>0</v>
      </c>
      <c r="BE695" s="29">
        <v>0</v>
      </c>
      <c r="BF695" s="29">
        <f>695</f>
        <v>695</v>
      </c>
      <c r="BH695" s="29">
        <f t="shared" si="63"/>
        <v>0</v>
      </c>
      <c r="BI695" s="29">
        <f t="shared" si="64"/>
        <v>0</v>
      </c>
      <c r="BJ695" s="29">
        <f t="shared" si="65"/>
        <v>0</v>
      </c>
      <c r="BK695" s="29"/>
      <c r="BL695" s="29"/>
      <c r="BW695" s="29">
        <v>21</v>
      </c>
      <c r="BX695" s="5" t="s">
        <v>1235</v>
      </c>
    </row>
    <row r="696" spans="1:76" ht="14.4" x14ac:dyDescent="0.3">
      <c r="A696" s="2" t="s">
        <v>1236</v>
      </c>
      <c r="B696" s="3" t="s">
        <v>1237</v>
      </c>
      <c r="C696" s="87" t="s">
        <v>1238</v>
      </c>
      <c r="D696" s="84"/>
      <c r="E696" s="3" t="s">
        <v>249</v>
      </c>
      <c r="F696" s="29">
        <v>1</v>
      </c>
      <c r="G696" s="29">
        <v>0</v>
      </c>
      <c r="H696" s="29">
        <f t="shared" si="44"/>
        <v>0</v>
      </c>
      <c r="I696" s="29">
        <f t="shared" si="45"/>
        <v>0</v>
      </c>
      <c r="J696" s="29">
        <f t="shared" si="46"/>
        <v>0</v>
      </c>
      <c r="K696" s="30" t="s">
        <v>351</v>
      </c>
      <c r="Z696" s="29">
        <f t="shared" si="47"/>
        <v>0</v>
      </c>
      <c r="AB696" s="29">
        <f t="shared" si="48"/>
        <v>0</v>
      </c>
      <c r="AC696" s="29">
        <f t="shared" si="49"/>
        <v>0</v>
      </c>
      <c r="AD696" s="29">
        <f t="shared" si="50"/>
        <v>0</v>
      </c>
      <c r="AE696" s="29">
        <f t="shared" si="51"/>
        <v>0</v>
      </c>
      <c r="AF696" s="29">
        <f t="shared" si="52"/>
        <v>0</v>
      </c>
      <c r="AG696" s="29">
        <f t="shared" si="53"/>
        <v>0</v>
      </c>
      <c r="AH696" s="29">
        <f t="shared" si="54"/>
        <v>0</v>
      </c>
      <c r="AI696" s="11" t="s">
        <v>1039</v>
      </c>
      <c r="AJ696" s="29">
        <f t="shared" si="55"/>
        <v>0</v>
      </c>
      <c r="AK696" s="29">
        <f t="shared" si="56"/>
        <v>0</v>
      </c>
      <c r="AL696" s="29">
        <f t="shared" si="57"/>
        <v>0</v>
      </c>
      <c r="AN696" s="29">
        <v>21</v>
      </c>
      <c r="AO696" s="29">
        <f>G696*0.5</f>
        <v>0</v>
      </c>
      <c r="AP696" s="29">
        <f>G696*(1-0.5)</f>
        <v>0</v>
      </c>
      <c r="AQ696" s="31" t="s">
        <v>70</v>
      </c>
      <c r="AV696" s="29">
        <f t="shared" si="58"/>
        <v>0</v>
      </c>
      <c r="AW696" s="29">
        <f t="shared" si="59"/>
        <v>0</v>
      </c>
      <c r="AX696" s="29">
        <f t="shared" si="60"/>
        <v>0</v>
      </c>
      <c r="AY696" s="31" t="s">
        <v>1189</v>
      </c>
      <c r="AZ696" s="31" t="s">
        <v>1114</v>
      </c>
      <c r="BA696" s="11" t="s">
        <v>1044</v>
      </c>
      <c r="BC696" s="29">
        <f t="shared" si="61"/>
        <v>0</v>
      </c>
      <c r="BD696" s="29">
        <f t="shared" si="62"/>
        <v>0</v>
      </c>
      <c r="BE696" s="29">
        <v>0</v>
      </c>
      <c r="BF696" s="29">
        <f>696</f>
        <v>696</v>
      </c>
      <c r="BH696" s="29">
        <f t="shared" si="63"/>
        <v>0</v>
      </c>
      <c r="BI696" s="29">
        <f t="shared" si="64"/>
        <v>0</v>
      </c>
      <c r="BJ696" s="29">
        <f t="shared" si="65"/>
        <v>0</v>
      </c>
      <c r="BK696" s="29"/>
      <c r="BL696" s="29"/>
      <c r="BW696" s="29">
        <v>21</v>
      </c>
      <c r="BX696" s="5" t="s">
        <v>1238</v>
      </c>
    </row>
    <row r="697" spans="1:76" ht="14.4" x14ac:dyDescent="0.3">
      <c r="A697" s="2" t="s">
        <v>1239</v>
      </c>
      <c r="B697" s="3" t="s">
        <v>1240</v>
      </c>
      <c r="C697" s="87" t="s">
        <v>1241</v>
      </c>
      <c r="D697" s="84"/>
      <c r="E697" s="3" t="s">
        <v>249</v>
      </c>
      <c r="F697" s="29">
        <v>1</v>
      </c>
      <c r="G697" s="29">
        <v>0</v>
      </c>
      <c r="H697" s="29">
        <f t="shared" si="44"/>
        <v>0</v>
      </c>
      <c r="I697" s="29">
        <f t="shared" si="45"/>
        <v>0</v>
      </c>
      <c r="J697" s="29">
        <f t="shared" si="46"/>
        <v>0</v>
      </c>
      <c r="K697" s="30" t="s">
        <v>351</v>
      </c>
      <c r="Z697" s="29">
        <f t="shared" si="47"/>
        <v>0</v>
      </c>
      <c r="AB697" s="29">
        <f t="shared" si="48"/>
        <v>0</v>
      </c>
      <c r="AC697" s="29">
        <f t="shared" si="49"/>
        <v>0</v>
      </c>
      <c r="AD697" s="29">
        <f t="shared" si="50"/>
        <v>0</v>
      </c>
      <c r="AE697" s="29">
        <f t="shared" si="51"/>
        <v>0</v>
      </c>
      <c r="AF697" s="29">
        <f t="shared" si="52"/>
        <v>0</v>
      </c>
      <c r="AG697" s="29">
        <f t="shared" si="53"/>
        <v>0</v>
      </c>
      <c r="AH697" s="29">
        <f t="shared" si="54"/>
        <v>0</v>
      </c>
      <c r="AI697" s="11" t="s">
        <v>1039</v>
      </c>
      <c r="AJ697" s="29">
        <f t="shared" si="55"/>
        <v>0</v>
      </c>
      <c r="AK697" s="29">
        <f t="shared" si="56"/>
        <v>0</v>
      </c>
      <c r="AL697" s="29">
        <f t="shared" si="57"/>
        <v>0</v>
      </c>
      <c r="AN697" s="29">
        <v>21</v>
      </c>
      <c r="AO697" s="29">
        <f>G697*0.142857143</f>
        <v>0</v>
      </c>
      <c r="AP697" s="29">
        <f>G697*(1-0.142857143)</f>
        <v>0</v>
      </c>
      <c r="AQ697" s="31" t="s">
        <v>70</v>
      </c>
      <c r="AV697" s="29">
        <f t="shared" si="58"/>
        <v>0</v>
      </c>
      <c r="AW697" s="29">
        <f t="shared" si="59"/>
        <v>0</v>
      </c>
      <c r="AX697" s="29">
        <f t="shared" si="60"/>
        <v>0</v>
      </c>
      <c r="AY697" s="31" t="s">
        <v>1189</v>
      </c>
      <c r="AZ697" s="31" t="s">
        <v>1114</v>
      </c>
      <c r="BA697" s="11" t="s">
        <v>1044</v>
      </c>
      <c r="BC697" s="29">
        <f t="shared" si="61"/>
        <v>0</v>
      </c>
      <c r="BD697" s="29">
        <f t="shared" si="62"/>
        <v>0</v>
      </c>
      <c r="BE697" s="29">
        <v>0</v>
      </c>
      <c r="BF697" s="29">
        <f>697</f>
        <v>697</v>
      </c>
      <c r="BH697" s="29">
        <f t="shared" si="63"/>
        <v>0</v>
      </c>
      <c r="BI697" s="29">
        <f t="shared" si="64"/>
        <v>0</v>
      </c>
      <c r="BJ697" s="29">
        <f t="shared" si="65"/>
        <v>0</v>
      </c>
      <c r="BK697" s="29"/>
      <c r="BL697" s="29"/>
      <c r="BW697" s="29">
        <v>21</v>
      </c>
      <c r="BX697" s="5" t="s">
        <v>1241</v>
      </c>
    </row>
    <row r="698" spans="1:76" ht="14.4" x14ac:dyDescent="0.3">
      <c r="A698" s="2" t="s">
        <v>1242</v>
      </c>
      <c r="B698" s="3" t="s">
        <v>1243</v>
      </c>
      <c r="C698" s="87" t="s">
        <v>1244</v>
      </c>
      <c r="D698" s="84"/>
      <c r="E698" s="3" t="s">
        <v>249</v>
      </c>
      <c r="F698" s="29">
        <v>1</v>
      </c>
      <c r="G698" s="29">
        <v>0</v>
      </c>
      <c r="H698" s="29">
        <f t="shared" si="44"/>
        <v>0</v>
      </c>
      <c r="I698" s="29">
        <f t="shared" si="45"/>
        <v>0</v>
      </c>
      <c r="J698" s="29">
        <f t="shared" si="46"/>
        <v>0</v>
      </c>
      <c r="K698" s="30" t="s">
        <v>351</v>
      </c>
      <c r="Z698" s="29">
        <f t="shared" si="47"/>
        <v>0</v>
      </c>
      <c r="AB698" s="29">
        <f t="shared" si="48"/>
        <v>0</v>
      </c>
      <c r="AC698" s="29">
        <f t="shared" si="49"/>
        <v>0</v>
      </c>
      <c r="AD698" s="29">
        <f t="shared" si="50"/>
        <v>0</v>
      </c>
      <c r="AE698" s="29">
        <f t="shared" si="51"/>
        <v>0</v>
      </c>
      <c r="AF698" s="29">
        <f t="shared" si="52"/>
        <v>0</v>
      </c>
      <c r="AG698" s="29">
        <f t="shared" si="53"/>
        <v>0</v>
      </c>
      <c r="AH698" s="29">
        <f t="shared" si="54"/>
        <v>0</v>
      </c>
      <c r="AI698" s="11" t="s">
        <v>1039</v>
      </c>
      <c r="AJ698" s="29">
        <f t="shared" si="55"/>
        <v>0</v>
      </c>
      <c r="AK698" s="29">
        <f t="shared" si="56"/>
        <v>0</v>
      </c>
      <c r="AL698" s="29">
        <f t="shared" si="57"/>
        <v>0</v>
      </c>
      <c r="AN698" s="29">
        <v>21</v>
      </c>
      <c r="AO698" s="29">
        <f>G698*0.131578947</f>
        <v>0</v>
      </c>
      <c r="AP698" s="29">
        <f>G698*(1-0.131578947)</f>
        <v>0</v>
      </c>
      <c r="AQ698" s="31" t="s">
        <v>70</v>
      </c>
      <c r="AV698" s="29">
        <f t="shared" si="58"/>
        <v>0</v>
      </c>
      <c r="AW698" s="29">
        <f t="shared" si="59"/>
        <v>0</v>
      </c>
      <c r="AX698" s="29">
        <f t="shared" si="60"/>
        <v>0</v>
      </c>
      <c r="AY698" s="31" t="s">
        <v>1189</v>
      </c>
      <c r="AZ698" s="31" t="s">
        <v>1114</v>
      </c>
      <c r="BA698" s="11" t="s">
        <v>1044</v>
      </c>
      <c r="BC698" s="29">
        <f t="shared" si="61"/>
        <v>0</v>
      </c>
      <c r="BD698" s="29">
        <f t="shared" si="62"/>
        <v>0</v>
      </c>
      <c r="BE698" s="29">
        <v>0</v>
      </c>
      <c r="BF698" s="29">
        <f>698</f>
        <v>698</v>
      </c>
      <c r="BH698" s="29">
        <f t="shared" si="63"/>
        <v>0</v>
      </c>
      <c r="BI698" s="29">
        <f t="shared" si="64"/>
        <v>0</v>
      </c>
      <c r="BJ698" s="29">
        <f t="shared" si="65"/>
        <v>0</v>
      </c>
      <c r="BK698" s="29"/>
      <c r="BL698" s="29"/>
      <c r="BW698" s="29">
        <v>21</v>
      </c>
      <c r="BX698" s="5" t="s">
        <v>1244</v>
      </c>
    </row>
    <row r="699" spans="1:76" ht="14.4" x14ac:dyDescent="0.3">
      <c r="A699" s="25" t="s">
        <v>51</v>
      </c>
      <c r="B699" s="26" t="s">
        <v>1245</v>
      </c>
      <c r="C699" s="143" t="s">
        <v>272</v>
      </c>
      <c r="D699" s="144"/>
      <c r="E699" s="27" t="s">
        <v>4</v>
      </c>
      <c r="F699" s="27" t="s">
        <v>4</v>
      </c>
      <c r="G699" s="27" t="s">
        <v>4</v>
      </c>
      <c r="H699" s="1">
        <f>SUM(H700:H704)</f>
        <v>0</v>
      </c>
      <c r="I699" s="1">
        <f>SUM(I700:I704)</f>
        <v>0</v>
      </c>
      <c r="J699" s="1">
        <f>SUM(J700:J704)</f>
        <v>0</v>
      </c>
      <c r="K699" s="28" t="s">
        <v>51</v>
      </c>
      <c r="AI699" s="11" t="s">
        <v>1039</v>
      </c>
      <c r="AS699" s="1">
        <f>SUM(AJ700:AJ704)</f>
        <v>0</v>
      </c>
      <c r="AT699" s="1">
        <f>SUM(AK700:AK704)</f>
        <v>0</v>
      </c>
      <c r="AU699" s="1">
        <f>SUM(AL700:AL704)</f>
        <v>0</v>
      </c>
    </row>
    <row r="700" spans="1:76" ht="14.4" x14ac:dyDescent="0.3">
      <c r="A700" s="2" t="s">
        <v>1246</v>
      </c>
      <c r="B700" s="3" t="s">
        <v>1247</v>
      </c>
      <c r="C700" s="87" t="s">
        <v>1248</v>
      </c>
      <c r="D700" s="84"/>
      <c r="E700" s="3" t="s">
        <v>1022</v>
      </c>
      <c r="F700" s="29">
        <v>1</v>
      </c>
      <c r="G700" s="29">
        <v>0</v>
      </c>
      <c r="H700" s="29">
        <f>F700*AO700</f>
        <v>0</v>
      </c>
      <c r="I700" s="29">
        <f>F700*AP700</f>
        <v>0</v>
      </c>
      <c r="J700" s="29">
        <f>F700*G700</f>
        <v>0</v>
      </c>
      <c r="K700" s="30" t="s">
        <v>250</v>
      </c>
      <c r="Z700" s="29">
        <f>IF(AQ700="5",BJ700,0)</f>
        <v>0</v>
      </c>
      <c r="AB700" s="29">
        <f>IF(AQ700="1",BH700,0)</f>
        <v>0</v>
      </c>
      <c r="AC700" s="29">
        <f>IF(AQ700="1",BI700,0)</f>
        <v>0</v>
      </c>
      <c r="AD700" s="29">
        <f>IF(AQ700="7",BH700,0)</f>
        <v>0</v>
      </c>
      <c r="AE700" s="29">
        <f>IF(AQ700="7",BI700,0)</f>
        <v>0</v>
      </c>
      <c r="AF700" s="29">
        <f>IF(AQ700="2",BH700,0)</f>
        <v>0</v>
      </c>
      <c r="AG700" s="29">
        <f>IF(AQ700="2",BI700,0)</f>
        <v>0</v>
      </c>
      <c r="AH700" s="29">
        <f>IF(AQ700="0",BJ700,0)</f>
        <v>0</v>
      </c>
      <c r="AI700" s="11" t="s">
        <v>1039</v>
      </c>
      <c r="AJ700" s="29">
        <f>IF(AN700=0,J700,0)</f>
        <v>0</v>
      </c>
      <c r="AK700" s="29">
        <f>IF(AN700=12,J700,0)</f>
        <v>0</v>
      </c>
      <c r="AL700" s="29">
        <f>IF(AN700=21,J700,0)</f>
        <v>0</v>
      </c>
      <c r="AN700" s="29">
        <v>21</v>
      </c>
      <c r="AO700" s="29">
        <f>G700*0</f>
        <v>0</v>
      </c>
      <c r="AP700" s="29">
        <f>G700*(1-0)</f>
        <v>0</v>
      </c>
      <c r="AQ700" s="31" t="s">
        <v>70</v>
      </c>
      <c r="AV700" s="29">
        <f>AW700+AX700</f>
        <v>0</v>
      </c>
      <c r="AW700" s="29">
        <f>F700*AO700</f>
        <v>0</v>
      </c>
      <c r="AX700" s="29">
        <f>F700*AP700</f>
        <v>0</v>
      </c>
      <c r="AY700" s="31" t="s">
        <v>1249</v>
      </c>
      <c r="AZ700" s="31" t="s">
        <v>1114</v>
      </c>
      <c r="BA700" s="11" t="s">
        <v>1044</v>
      </c>
      <c r="BC700" s="29">
        <f>AW700+AX700</f>
        <v>0</v>
      </c>
      <c r="BD700" s="29">
        <f>G700/(100-BE700)*100</f>
        <v>0</v>
      </c>
      <c r="BE700" s="29">
        <v>0</v>
      </c>
      <c r="BF700" s="29">
        <f>700</f>
        <v>700</v>
      </c>
      <c r="BH700" s="29">
        <f>F700*AO700</f>
        <v>0</v>
      </c>
      <c r="BI700" s="29">
        <f>F700*AP700</f>
        <v>0</v>
      </c>
      <c r="BJ700" s="29">
        <f>F700*G700</f>
        <v>0</v>
      </c>
      <c r="BK700" s="29"/>
      <c r="BL700" s="29"/>
      <c r="BW700" s="29">
        <v>21</v>
      </c>
      <c r="BX700" s="5" t="s">
        <v>1248</v>
      </c>
    </row>
    <row r="701" spans="1:76" ht="14.4" x14ac:dyDescent="0.3">
      <c r="A701" s="2" t="s">
        <v>1250</v>
      </c>
      <c r="B701" s="3" t="s">
        <v>1251</v>
      </c>
      <c r="C701" s="87" t="s">
        <v>1252</v>
      </c>
      <c r="D701" s="84"/>
      <c r="E701" s="3" t="s">
        <v>1022</v>
      </c>
      <c r="F701" s="29">
        <v>1</v>
      </c>
      <c r="G701" s="29">
        <v>0</v>
      </c>
      <c r="H701" s="29">
        <f>F701*AO701</f>
        <v>0</v>
      </c>
      <c r="I701" s="29">
        <f>F701*AP701</f>
        <v>0</v>
      </c>
      <c r="J701" s="29">
        <f>F701*G701</f>
        <v>0</v>
      </c>
      <c r="K701" s="30" t="s">
        <v>250</v>
      </c>
      <c r="Z701" s="29">
        <f>IF(AQ701="5",BJ701,0)</f>
        <v>0</v>
      </c>
      <c r="AB701" s="29">
        <f>IF(AQ701="1",BH701,0)</f>
        <v>0</v>
      </c>
      <c r="AC701" s="29">
        <f>IF(AQ701="1",BI701,0)</f>
        <v>0</v>
      </c>
      <c r="AD701" s="29">
        <f>IF(AQ701="7",BH701,0)</f>
        <v>0</v>
      </c>
      <c r="AE701" s="29">
        <f>IF(AQ701="7",BI701,0)</f>
        <v>0</v>
      </c>
      <c r="AF701" s="29">
        <f>IF(AQ701="2",BH701,0)</f>
        <v>0</v>
      </c>
      <c r="AG701" s="29">
        <f>IF(AQ701="2",BI701,0)</f>
        <v>0</v>
      </c>
      <c r="AH701" s="29">
        <f>IF(AQ701="0",BJ701,0)</f>
        <v>0</v>
      </c>
      <c r="AI701" s="11" t="s">
        <v>1039</v>
      </c>
      <c r="AJ701" s="29">
        <f>IF(AN701=0,J701,0)</f>
        <v>0</v>
      </c>
      <c r="AK701" s="29">
        <f>IF(AN701=12,J701,0)</f>
        <v>0</v>
      </c>
      <c r="AL701" s="29">
        <f>IF(AN701=21,J701,0)</f>
        <v>0</v>
      </c>
      <c r="AN701" s="29">
        <v>21</v>
      </c>
      <c r="AO701" s="29">
        <f>G701*0</f>
        <v>0</v>
      </c>
      <c r="AP701" s="29">
        <f>G701*(1-0)</f>
        <v>0</v>
      </c>
      <c r="AQ701" s="31" t="s">
        <v>70</v>
      </c>
      <c r="AV701" s="29">
        <f>AW701+AX701</f>
        <v>0</v>
      </c>
      <c r="AW701" s="29">
        <f>F701*AO701</f>
        <v>0</v>
      </c>
      <c r="AX701" s="29">
        <f>F701*AP701</f>
        <v>0</v>
      </c>
      <c r="AY701" s="31" t="s">
        <v>1249</v>
      </c>
      <c r="AZ701" s="31" t="s">
        <v>1114</v>
      </c>
      <c r="BA701" s="11" t="s">
        <v>1044</v>
      </c>
      <c r="BC701" s="29">
        <f>AW701+AX701</f>
        <v>0</v>
      </c>
      <c r="BD701" s="29">
        <f>G701/(100-BE701)*100</f>
        <v>0</v>
      </c>
      <c r="BE701" s="29">
        <v>0</v>
      </c>
      <c r="BF701" s="29">
        <f>701</f>
        <v>701</v>
      </c>
      <c r="BH701" s="29">
        <f>F701*AO701</f>
        <v>0</v>
      </c>
      <c r="BI701" s="29">
        <f>F701*AP701</f>
        <v>0</v>
      </c>
      <c r="BJ701" s="29">
        <f>F701*G701</f>
        <v>0</v>
      </c>
      <c r="BK701" s="29"/>
      <c r="BL701" s="29"/>
      <c r="BW701" s="29">
        <v>21</v>
      </c>
      <c r="BX701" s="5" t="s">
        <v>1252</v>
      </c>
    </row>
    <row r="702" spans="1:76" ht="14.4" x14ac:dyDescent="0.3">
      <c r="A702" s="2" t="s">
        <v>1253</v>
      </c>
      <c r="B702" s="3" t="s">
        <v>1254</v>
      </c>
      <c r="C702" s="87" t="s">
        <v>1255</v>
      </c>
      <c r="D702" s="84"/>
      <c r="E702" s="3" t="s">
        <v>1022</v>
      </c>
      <c r="F702" s="29">
        <v>1</v>
      </c>
      <c r="G702" s="29">
        <v>0</v>
      </c>
      <c r="H702" s="29">
        <f>F702*AO702</f>
        <v>0</v>
      </c>
      <c r="I702" s="29">
        <f>F702*AP702</f>
        <v>0</v>
      </c>
      <c r="J702" s="29">
        <f>F702*G702</f>
        <v>0</v>
      </c>
      <c r="K702" s="30" t="s">
        <v>250</v>
      </c>
      <c r="Z702" s="29">
        <f>IF(AQ702="5",BJ702,0)</f>
        <v>0</v>
      </c>
      <c r="AB702" s="29">
        <f>IF(AQ702="1",BH702,0)</f>
        <v>0</v>
      </c>
      <c r="AC702" s="29">
        <f>IF(AQ702="1",BI702,0)</f>
        <v>0</v>
      </c>
      <c r="AD702" s="29">
        <f>IF(AQ702="7",BH702,0)</f>
        <v>0</v>
      </c>
      <c r="AE702" s="29">
        <f>IF(AQ702="7",BI702,0)</f>
        <v>0</v>
      </c>
      <c r="AF702" s="29">
        <f>IF(AQ702="2",BH702,0)</f>
        <v>0</v>
      </c>
      <c r="AG702" s="29">
        <f>IF(AQ702="2",BI702,0)</f>
        <v>0</v>
      </c>
      <c r="AH702" s="29">
        <f>IF(AQ702="0",BJ702,0)</f>
        <v>0</v>
      </c>
      <c r="AI702" s="11" t="s">
        <v>1039</v>
      </c>
      <c r="AJ702" s="29">
        <f>IF(AN702=0,J702,0)</f>
        <v>0</v>
      </c>
      <c r="AK702" s="29">
        <f>IF(AN702=12,J702,0)</f>
        <v>0</v>
      </c>
      <c r="AL702" s="29">
        <f>IF(AN702=21,J702,0)</f>
        <v>0</v>
      </c>
      <c r="AN702" s="29">
        <v>21</v>
      </c>
      <c r="AO702" s="29">
        <f>G702*0</f>
        <v>0</v>
      </c>
      <c r="AP702" s="29">
        <f>G702*(1-0)</f>
        <v>0</v>
      </c>
      <c r="AQ702" s="31" t="s">
        <v>70</v>
      </c>
      <c r="AV702" s="29">
        <f>AW702+AX702</f>
        <v>0</v>
      </c>
      <c r="AW702" s="29">
        <f>F702*AO702</f>
        <v>0</v>
      </c>
      <c r="AX702" s="29">
        <f>F702*AP702</f>
        <v>0</v>
      </c>
      <c r="AY702" s="31" t="s">
        <v>1249</v>
      </c>
      <c r="AZ702" s="31" t="s">
        <v>1114</v>
      </c>
      <c r="BA702" s="11" t="s">
        <v>1044</v>
      </c>
      <c r="BC702" s="29">
        <f>AW702+AX702</f>
        <v>0</v>
      </c>
      <c r="BD702" s="29">
        <f>G702/(100-BE702)*100</f>
        <v>0</v>
      </c>
      <c r="BE702" s="29">
        <v>0</v>
      </c>
      <c r="BF702" s="29">
        <f>702</f>
        <v>702</v>
      </c>
      <c r="BH702" s="29">
        <f>F702*AO702</f>
        <v>0</v>
      </c>
      <c r="BI702" s="29">
        <f>F702*AP702</f>
        <v>0</v>
      </c>
      <c r="BJ702" s="29">
        <f>F702*G702</f>
        <v>0</v>
      </c>
      <c r="BK702" s="29"/>
      <c r="BL702" s="29"/>
      <c r="BW702" s="29">
        <v>21</v>
      </c>
      <c r="BX702" s="5" t="s">
        <v>1255</v>
      </c>
    </row>
    <row r="703" spans="1:76" ht="14.4" x14ac:dyDescent="0.3">
      <c r="A703" s="2" t="s">
        <v>1256</v>
      </c>
      <c r="B703" s="3" t="s">
        <v>1257</v>
      </c>
      <c r="C703" s="87" t="s">
        <v>1258</v>
      </c>
      <c r="D703" s="84"/>
      <c r="E703" s="3" t="s">
        <v>1022</v>
      </c>
      <c r="F703" s="29">
        <v>1</v>
      </c>
      <c r="G703" s="29">
        <v>0</v>
      </c>
      <c r="H703" s="29">
        <f>F703*AO703</f>
        <v>0</v>
      </c>
      <c r="I703" s="29">
        <f>F703*AP703</f>
        <v>0</v>
      </c>
      <c r="J703" s="29">
        <f>F703*G703</f>
        <v>0</v>
      </c>
      <c r="K703" s="30" t="s">
        <v>250</v>
      </c>
      <c r="Z703" s="29">
        <f>IF(AQ703="5",BJ703,0)</f>
        <v>0</v>
      </c>
      <c r="AB703" s="29">
        <f>IF(AQ703="1",BH703,0)</f>
        <v>0</v>
      </c>
      <c r="AC703" s="29">
        <f>IF(AQ703="1",BI703,0)</f>
        <v>0</v>
      </c>
      <c r="AD703" s="29">
        <f>IF(AQ703="7",BH703,0)</f>
        <v>0</v>
      </c>
      <c r="AE703" s="29">
        <f>IF(AQ703="7",BI703,0)</f>
        <v>0</v>
      </c>
      <c r="AF703" s="29">
        <f>IF(AQ703="2",BH703,0)</f>
        <v>0</v>
      </c>
      <c r="AG703" s="29">
        <f>IF(AQ703="2",BI703,0)</f>
        <v>0</v>
      </c>
      <c r="AH703" s="29">
        <f>IF(AQ703="0",BJ703,0)</f>
        <v>0</v>
      </c>
      <c r="AI703" s="11" t="s">
        <v>1039</v>
      </c>
      <c r="AJ703" s="29">
        <f>IF(AN703=0,J703,0)</f>
        <v>0</v>
      </c>
      <c r="AK703" s="29">
        <f>IF(AN703=12,J703,0)</f>
        <v>0</v>
      </c>
      <c r="AL703" s="29">
        <f>IF(AN703=21,J703,0)</f>
        <v>0</v>
      </c>
      <c r="AN703" s="29">
        <v>21</v>
      </c>
      <c r="AO703" s="29">
        <f>G703*0.142857143</f>
        <v>0</v>
      </c>
      <c r="AP703" s="29">
        <f>G703*(1-0.142857143)</f>
        <v>0</v>
      </c>
      <c r="AQ703" s="31" t="s">
        <v>70</v>
      </c>
      <c r="AV703" s="29">
        <f>AW703+AX703</f>
        <v>0</v>
      </c>
      <c r="AW703" s="29">
        <f>F703*AO703</f>
        <v>0</v>
      </c>
      <c r="AX703" s="29">
        <f>F703*AP703</f>
        <v>0</v>
      </c>
      <c r="AY703" s="31" t="s">
        <v>1249</v>
      </c>
      <c r="AZ703" s="31" t="s">
        <v>1114</v>
      </c>
      <c r="BA703" s="11" t="s">
        <v>1044</v>
      </c>
      <c r="BC703" s="29">
        <f>AW703+AX703</f>
        <v>0</v>
      </c>
      <c r="BD703" s="29">
        <f>G703/(100-BE703)*100</f>
        <v>0</v>
      </c>
      <c r="BE703" s="29">
        <v>0</v>
      </c>
      <c r="BF703" s="29">
        <f>703</f>
        <v>703</v>
      </c>
      <c r="BH703" s="29">
        <f>F703*AO703</f>
        <v>0</v>
      </c>
      <c r="BI703" s="29">
        <f>F703*AP703</f>
        <v>0</v>
      </c>
      <c r="BJ703" s="29">
        <f>F703*G703</f>
        <v>0</v>
      </c>
      <c r="BK703" s="29"/>
      <c r="BL703" s="29"/>
      <c r="BW703" s="29">
        <v>21</v>
      </c>
      <c r="BX703" s="5" t="s">
        <v>1258</v>
      </c>
    </row>
    <row r="704" spans="1:76" ht="14.4" x14ac:dyDescent="0.3">
      <c r="A704" s="2" t="s">
        <v>1259</v>
      </c>
      <c r="B704" s="3" t="s">
        <v>1260</v>
      </c>
      <c r="C704" s="87" t="s">
        <v>1261</v>
      </c>
      <c r="D704" s="84"/>
      <c r="E704" s="3" t="s">
        <v>1022</v>
      </c>
      <c r="F704" s="29">
        <v>1</v>
      </c>
      <c r="G704" s="29">
        <v>0</v>
      </c>
      <c r="H704" s="29">
        <f>F704*AO704</f>
        <v>0</v>
      </c>
      <c r="I704" s="29">
        <f>F704*AP704</f>
        <v>0</v>
      </c>
      <c r="J704" s="29">
        <f>F704*G704</f>
        <v>0</v>
      </c>
      <c r="K704" s="30" t="s">
        <v>250</v>
      </c>
      <c r="Z704" s="29">
        <f>IF(AQ704="5",BJ704,0)</f>
        <v>0</v>
      </c>
      <c r="AB704" s="29">
        <f>IF(AQ704="1",BH704,0)</f>
        <v>0</v>
      </c>
      <c r="AC704" s="29">
        <f>IF(AQ704="1",BI704,0)</f>
        <v>0</v>
      </c>
      <c r="AD704" s="29">
        <f>IF(AQ704="7",BH704,0)</f>
        <v>0</v>
      </c>
      <c r="AE704" s="29">
        <f>IF(AQ704="7",BI704,0)</f>
        <v>0</v>
      </c>
      <c r="AF704" s="29">
        <f>IF(AQ704="2",BH704,0)</f>
        <v>0</v>
      </c>
      <c r="AG704" s="29">
        <f>IF(AQ704="2",BI704,0)</f>
        <v>0</v>
      </c>
      <c r="AH704" s="29">
        <f>IF(AQ704="0",BJ704,0)</f>
        <v>0</v>
      </c>
      <c r="AI704" s="11" t="s">
        <v>1039</v>
      </c>
      <c r="AJ704" s="29">
        <f>IF(AN704=0,J704,0)</f>
        <v>0</v>
      </c>
      <c r="AK704" s="29">
        <f>IF(AN704=12,J704,0)</f>
        <v>0</v>
      </c>
      <c r="AL704" s="29">
        <f>IF(AN704=21,J704,0)</f>
        <v>0</v>
      </c>
      <c r="AN704" s="29">
        <v>21</v>
      </c>
      <c r="AO704" s="29">
        <f>G704*0.090909091</f>
        <v>0</v>
      </c>
      <c r="AP704" s="29">
        <f>G704*(1-0.090909091)</f>
        <v>0</v>
      </c>
      <c r="AQ704" s="31" t="s">
        <v>70</v>
      </c>
      <c r="AV704" s="29">
        <f>AW704+AX704</f>
        <v>0</v>
      </c>
      <c r="AW704" s="29">
        <f>F704*AO704</f>
        <v>0</v>
      </c>
      <c r="AX704" s="29">
        <f>F704*AP704</f>
        <v>0</v>
      </c>
      <c r="AY704" s="31" t="s">
        <v>1249</v>
      </c>
      <c r="AZ704" s="31" t="s">
        <v>1114</v>
      </c>
      <c r="BA704" s="11" t="s">
        <v>1044</v>
      </c>
      <c r="BC704" s="29">
        <f>AW704+AX704</f>
        <v>0</v>
      </c>
      <c r="BD704" s="29">
        <f>G704/(100-BE704)*100</f>
        <v>0</v>
      </c>
      <c r="BE704" s="29">
        <v>0</v>
      </c>
      <c r="BF704" s="29">
        <f>704</f>
        <v>704</v>
      </c>
      <c r="BH704" s="29">
        <f>F704*AO704</f>
        <v>0</v>
      </c>
      <c r="BI704" s="29">
        <f>F704*AP704</f>
        <v>0</v>
      </c>
      <c r="BJ704" s="29">
        <f>F704*G704</f>
        <v>0</v>
      </c>
      <c r="BK704" s="29"/>
      <c r="BL704" s="29"/>
      <c r="BW704" s="29">
        <v>21</v>
      </c>
      <c r="BX704" s="5" t="s">
        <v>1261</v>
      </c>
    </row>
    <row r="705" spans="1:76" ht="14.4" x14ac:dyDescent="0.3">
      <c r="A705" s="25" t="s">
        <v>51</v>
      </c>
      <c r="B705" s="26" t="s">
        <v>381</v>
      </c>
      <c r="C705" s="143" t="s">
        <v>382</v>
      </c>
      <c r="D705" s="144"/>
      <c r="E705" s="27" t="s">
        <v>4</v>
      </c>
      <c r="F705" s="27" t="s">
        <v>4</v>
      </c>
      <c r="G705" s="27" t="s">
        <v>4</v>
      </c>
      <c r="H705" s="1">
        <f>SUM(H706:H706)</f>
        <v>0</v>
      </c>
      <c r="I705" s="1">
        <f>SUM(I706:I706)</f>
        <v>0</v>
      </c>
      <c r="J705" s="1">
        <f>SUM(J706:J706)</f>
        <v>0</v>
      </c>
      <c r="K705" s="28" t="s">
        <v>51</v>
      </c>
      <c r="AI705" s="11" t="s">
        <v>1039</v>
      </c>
      <c r="AS705" s="1">
        <f>SUM(AJ706:AJ706)</f>
        <v>0</v>
      </c>
      <c r="AT705" s="1">
        <f>SUM(AK706:AK706)</f>
        <v>0</v>
      </c>
      <c r="AU705" s="1">
        <f>SUM(AL706:AL706)</f>
        <v>0</v>
      </c>
    </row>
    <row r="706" spans="1:76" ht="14.4" x14ac:dyDescent="0.3">
      <c r="A706" s="2" t="s">
        <v>1262</v>
      </c>
      <c r="B706" s="3" t="s">
        <v>1263</v>
      </c>
      <c r="C706" s="87" t="s">
        <v>1264</v>
      </c>
      <c r="D706" s="84"/>
      <c r="E706" s="3" t="s">
        <v>269</v>
      </c>
      <c r="F706" s="29">
        <v>0.15</v>
      </c>
      <c r="G706" s="29">
        <v>0</v>
      </c>
      <c r="H706" s="29">
        <f>F706*AO706</f>
        <v>0</v>
      </c>
      <c r="I706" s="29">
        <f>F706*AP706</f>
        <v>0</v>
      </c>
      <c r="J706" s="29">
        <f>F706*G706</f>
        <v>0</v>
      </c>
      <c r="K706" s="30" t="s">
        <v>60</v>
      </c>
      <c r="Z706" s="29">
        <f>IF(AQ706="5",BJ706,0)</f>
        <v>0</v>
      </c>
      <c r="AB706" s="29">
        <f>IF(AQ706="1",BH706,0)</f>
        <v>0</v>
      </c>
      <c r="AC706" s="29">
        <f>IF(AQ706="1",BI706,0)</f>
        <v>0</v>
      </c>
      <c r="AD706" s="29">
        <f>IF(AQ706="7",BH706,0)</f>
        <v>0</v>
      </c>
      <c r="AE706" s="29">
        <f>IF(AQ706="7",BI706,0)</f>
        <v>0</v>
      </c>
      <c r="AF706" s="29">
        <f>IF(AQ706="2",BH706,0)</f>
        <v>0</v>
      </c>
      <c r="AG706" s="29">
        <f>IF(AQ706="2",BI706,0)</f>
        <v>0</v>
      </c>
      <c r="AH706" s="29">
        <f>IF(AQ706="0",BJ706,0)</f>
        <v>0</v>
      </c>
      <c r="AI706" s="11" t="s">
        <v>1039</v>
      </c>
      <c r="AJ706" s="29">
        <f>IF(AN706=0,J706,0)</f>
        <v>0</v>
      </c>
      <c r="AK706" s="29">
        <f>IF(AN706=12,J706,0)</f>
        <v>0</v>
      </c>
      <c r="AL706" s="29">
        <f>IF(AN706=21,J706,0)</f>
        <v>0</v>
      </c>
      <c r="AN706" s="29">
        <v>21</v>
      </c>
      <c r="AO706" s="29">
        <f>G706*0</f>
        <v>0</v>
      </c>
      <c r="AP706" s="29">
        <f>G706*(1-0)</f>
        <v>0</v>
      </c>
      <c r="AQ706" s="31" t="s">
        <v>100</v>
      </c>
      <c r="AV706" s="29">
        <f>AW706+AX706</f>
        <v>0</v>
      </c>
      <c r="AW706" s="29">
        <f>F706*AO706</f>
        <v>0</v>
      </c>
      <c r="AX706" s="29">
        <f>F706*AP706</f>
        <v>0</v>
      </c>
      <c r="AY706" s="31" t="s">
        <v>386</v>
      </c>
      <c r="AZ706" s="31" t="s">
        <v>1055</v>
      </c>
      <c r="BA706" s="11" t="s">
        <v>1044</v>
      </c>
      <c r="BC706" s="29">
        <f>AW706+AX706</f>
        <v>0</v>
      </c>
      <c r="BD706" s="29">
        <f>G706/(100-BE706)*100</f>
        <v>0</v>
      </c>
      <c r="BE706" s="29">
        <v>0</v>
      </c>
      <c r="BF706" s="29">
        <f>706</f>
        <v>706</v>
      </c>
      <c r="BH706" s="29">
        <f>F706*AO706</f>
        <v>0</v>
      </c>
      <c r="BI706" s="29">
        <f>F706*AP706</f>
        <v>0</v>
      </c>
      <c r="BJ706" s="29">
        <f>F706*G706</f>
        <v>0</v>
      </c>
      <c r="BK706" s="29"/>
      <c r="BL706" s="29"/>
      <c r="BW706" s="29">
        <v>21</v>
      </c>
      <c r="BX706" s="5" t="s">
        <v>1264</v>
      </c>
    </row>
    <row r="707" spans="1:76" ht="14.4" x14ac:dyDescent="0.3">
      <c r="A707" s="25" t="s">
        <v>51</v>
      </c>
      <c r="B707" s="26" t="s">
        <v>51</v>
      </c>
      <c r="C707" s="143" t="s">
        <v>1265</v>
      </c>
      <c r="D707" s="144"/>
      <c r="E707" s="27" t="s">
        <v>4</v>
      </c>
      <c r="F707" s="27" t="s">
        <v>4</v>
      </c>
      <c r="G707" s="27" t="s">
        <v>4</v>
      </c>
      <c r="H707" s="1">
        <f>H709</f>
        <v>0</v>
      </c>
      <c r="I707" s="1">
        <f>I709</f>
        <v>0</v>
      </c>
      <c r="J707" s="1">
        <f>J709</f>
        <v>0</v>
      </c>
      <c r="K707" s="28" t="s">
        <v>51</v>
      </c>
    </row>
    <row r="708" spans="1:76" ht="14.4" x14ac:dyDescent="0.3">
      <c r="A708" s="25" t="s">
        <v>51</v>
      </c>
      <c r="B708" s="26" t="s">
        <v>1266</v>
      </c>
      <c r="C708" s="143" t="s">
        <v>1265</v>
      </c>
      <c r="D708" s="144"/>
      <c r="E708" s="27" t="s">
        <v>4</v>
      </c>
      <c r="F708" s="27" t="s">
        <v>4</v>
      </c>
      <c r="G708" s="27" t="s">
        <v>4</v>
      </c>
      <c r="H708" s="1">
        <f>H709</f>
        <v>0</v>
      </c>
      <c r="I708" s="1">
        <f>I709</f>
        <v>0</v>
      </c>
      <c r="J708" s="1">
        <f>J709</f>
        <v>0</v>
      </c>
      <c r="K708" s="28" t="s">
        <v>51</v>
      </c>
      <c r="AI708" s="11" t="s">
        <v>1266</v>
      </c>
    </row>
    <row r="709" spans="1:76" ht="14.4" x14ac:dyDescent="0.3">
      <c r="A709" s="25" t="s">
        <v>51</v>
      </c>
      <c r="B709" s="26" t="s">
        <v>1267</v>
      </c>
      <c r="C709" s="143" t="s">
        <v>1268</v>
      </c>
      <c r="D709" s="144"/>
      <c r="E709" s="27" t="s">
        <v>4</v>
      </c>
      <c r="F709" s="27" t="s">
        <v>4</v>
      </c>
      <c r="G709" s="27" t="s">
        <v>4</v>
      </c>
      <c r="H709" s="1">
        <f>SUM(H710:H722)</f>
        <v>0</v>
      </c>
      <c r="I709" s="1">
        <f>SUM(I710:I722)</f>
        <v>0</v>
      </c>
      <c r="J709" s="1">
        <f>SUM(J710:J722)</f>
        <v>0</v>
      </c>
      <c r="K709" s="28" t="s">
        <v>51</v>
      </c>
      <c r="AI709" s="11" t="s">
        <v>1266</v>
      </c>
      <c r="AS709" s="1">
        <f>SUM(AJ710:AJ722)</f>
        <v>0</v>
      </c>
      <c r="AT709" s="1">
        <f>SUM(AK710:AK722)</f>
        <v>0</v>
      </c>
      <c r="AU709" s="1">
        <f>SUM(AL710:AL722)</f>
        <v>0</v>
      </c>
    </row>
    <row r="710" spans="1:76" ht="14.4" x14ac:dyDescent="0.3">
      <c r="A710" s="2" t="s">
        <v>1269</v>
      </c>
      <c r="B710" s="3" t="s">
        <v>1270</v>
      </c>
      <c r="C710" s="87" t="s">
        <v>1271</v>
      </c>
      <c r="D710" s="84"/>
      <c r="E710" s="3" t="s">
        <v>845</v>
      </c>
      <c r="F710" s="29">
        <v>1</v>
      </c>
      <c r="G710" s="29">
        <v>0</v>
      </c>
      <c r="H710" s="29">
        <f t="shared" ref="H710:H722" si="66">F710*AO710</f>
        <v>0</v>
      </c>
      <c r="I710" s="29">
        <f t="shared" ref="I710:I722" si="67">F710*AP710</f>
        <v>0</v>
      </c>
      <c r="J710" s="29">
        <f t="shared" ref="J710:J722" si="68">F710*G710</f>
        <v>0</v>
      </c>
      <c r="K710" s="30" t="s">
        <v>60</v>
      </c>
      <c r="Z710" s="29">
        <f t="shared" ref="Z710:Z722" si="69">IF(AQ710="5",BJ710,0)</f>
        <v>0</v>
      </c>
      <c r="AB710" s="29">
        <f t="shared" ref="AB710:AB722" si="70">IF(AQ710="1",BH710,0)</f>
        <v>0</v>
      </c>
      <c r="AC710" s="29">
        <f t="shared" ref="AC710:AC722" si="71">IF(AQ710="1",BI710,0)</f>
        <v>0</v>
      </c>
      <c r="AD710" s="29">
        <f t="shared" ref="AD710:AD722" si="72">IF(AQ710="7",BH710,0)</f>
        <v>0</v>
      </c>
      <c r="AE710" s="29">
        <f t="shared" ref="AE710:AE722" si="73">IF(AQ710="7",BI710,0)</f>
        <v>0</v>
      </c>
      <c r="AF710" s="29">
        <f t="shared" ref="AF710:AF722" si="74">IF(AQ710="2",BH710,0)</f>
        <v>0</v>
      </c>
      <c r="AG710" s="29">
        <f t="shared" ref="AG710:AG722" si="75">IF(AQ710="2",BI710,0)</f>
        <v>0</v>
      </c>
      <c r="AH710" s="29">
        <f t="shared" ref="AH710:AH722" si="76">IF(AQ710="0",BJ710,0)</f>
        <v>0</v>
      </c>
      <c r="AI710" s="11" t="s">
        <v>1266</v>
      </c>
      <c r="AJ710" s="29">
        <f t="shared" ref="AJ710:AJ722" si="77">IF(AN710=0,J710,0)</f>
        <v>0</v>
      </c>
      <c r="AK710" s="29">
        <f t="shared" ref="AK710:AK722" si="78">IF(AN710=12,J710,0)</f>
        <v>0</v>
      </c>
      <c r="AL710" s="29">
        <f t="shared" ref="AL710:AL722" si="79">IF(AN710=21,J710,0)</f>
        <v>0</v>
      </c>
      <c r="AN710" s="29">
        <v>21</v>
      </c>
      <c r="AO710" s="29">
        <f t="shared" ref="AO710:AO722" si="80">G710*0</f>
        <v>0</v>
      </c>
      <c r="AP710" s="29">
        <f t="shared" ref="AP710:AP722" si="81">G710*(1-0)</f>
        <v>0</v>
      </c>
      <c r="AQ710" s="31" t="s">
        <v>613</v>
      </c>
      <c r="AV710" s="29">
        <f t="shared" ref="AV710:AV722" si="82">AW710+AX710</f>
        <v>0</v>
      </c>
      <c r="AW710" s="29">
        <f t="shared" ref="AW710:AW722" si="83">F710*AO710</f>
        <v>0</v>
      </c>
      <c r="AX710" s="29">
        <f t="shared" ref="AX710:AX722" si="84">F710*AP710</f>
        <v>0</v>
      </c>
      <c r="AY710" s="31" t="s">
        <v>1272</v>
      </c>
      <c r="AZ710" s="31" t="s">
        <v>1273</v>
      </c>
      <c r="BA710" s="11" t="s">
        <v>1274</v>
      </c>
      <c r="BC710" s="29">
        <f t="shared" ref="BC710:BC722" si="85">AW710+AX710</f>
        <v>0</v>
      </c>
      <c r="BD710" s="29">
        <f t="shared" ref="BD710:BD722" si="86">G710/(100-BE710)*100</f>
        <v>0</v>
      </c>
      <c r="BE710" s="29">
        <v>0</v>
      </c>
      <c r="BF710" s="29">
        <f>710</f>
        <v>710</v>
      </c>
      <c r="BH710" s="29">
        <f t="shared" ref="BH710:BH722" si="87">F710*AO710</f>
        <v>0</v>
      </c>
      <c r="BI710" s="29">
        <f t="shared" ref="BI710:BI722" si="88">F710*AP710</f>
        <v>0</v>
      </c>
      <c r="BJ710" s="29">
        <f t="shared" ref="BJ710:BJ722" si="89">F710*G710</f>
        <v>0</v>
      </c>
      <c r="BK710" s="29"/>
      <c r="BL710" s="29"/>
      <c r="BO710" s="29">
        <f t="shared" ref="BO710:BO722" si="90">F710*G710</f>
        <v>0</v>
      </c>
      <c r="BW710" s="29">
        <v>21</v>
      </c>
      <c r="BX710" s="5" t="s">
        <v>1271</v>
      </c>
    </row>
    <row r="711" spans="1:76" ht="26.4" x14ac:dyDescent="0.3">
      <c r="A711" s="2" t="s">
        <v>1275</v>
      </c>
      <c r="B711" s="3" t="s">
        <v>1276</v>
      </c>
      <c r="C711" s="87" t="s">
        <v>1277</v>
      </c>
      <c r="D711" s="84"/>
      <c r="E711" s="3" t="s">
        <v>845</v>
      </c>
      <c r="F711" s="29">
        <v>1</v>
      </c>
      <c r="G711" s="29">
        <v>0</v>
      </c>
      <c r="H711" s="29">
        <f t="shared" si="66"/>
        <v>0</v>
      </c>
      <c r="I711" s="29">
        <f t="shared" si="67"/>
        <v>0</v>
      </c>
      <c r="J711" s="29">
        <f t="shared" si="68"/>
        <v>0</v>
      </c>
      <c r="K711" s="30" t="s">
        <v>51</v>
      </c>
      <c r="Z711" s="29">
        <f t="shared" si="69"/>
        <v>0</v>
      </c>
      <c r="AB711" s="29">
        <f t="shared" si="70"/>
        <v>0</v>
      </c>
      <c r="AC711" s="29">
        <f t="shared" si="71"/>
        <v>0</v>
      </c>
      <c r="AD711" s="29">
        <f t="shared" si="72"/>
        <v>0</v>
      </c>
      <c r="AE711" s="29">
        <f t="shared" si="73"/>
        <v>0</v>
      </c>
      <c r="AF711" s="29">
        <f t="shared" si="74"/>
        <v>0</v>
      </c>
      <c r="AG711" s="29">
        <f t="shared" si="75"/>
        <v>0</v>
      </c>
      <c r="AH711" s="29">
        <f t="shared" si="76"/>
        <v>0</v>
      </c>
      <c r="AI711" s="11" t="s">
        <v>1266</v>
      </c>
      <c r="AJ711" s="29">
        <f t="shared" si="77"/>
        <v>0</v>
      </c>
      <c r="AK711" s="29">
        <f t="shared" si="78"/>
        <v>0</v>
      </c>
      <c r="AL711" s="29">
        <f t="shared" si="79"/>
        <v>0</v>
      </c>
      <c r="AN711" s="29">
        <v>21</v>
      </c>
      <c r="AO711" s="29">
        <f t="shared" si="80"/>
        <v>0</v>
      </c>
      <c r="AP711" s="29">
        <f t="shared" si="81"/>
        <v>0</v>
      </c>
      <c r="AQ711" s="31" t="s">
        <v>613</v>
      </c>
      <c r="AV711" s="29">
        <f t="shared" si="82"/>
        <v>0</v>
      </c>
      <c r="AW711" s="29">
        <f t="shared" si="83"/>
        <v>0</v>
      </c>
      <c r="AX711" s="29">
        <f t="shared" si="84"/>
        <v>0</v>
      </c>
      <c r="AY711" s="31" t="s">
        <v>1272</v>
      </c>
      <c r="AZ711" s="31" t="s">
        <v>1273</v>
      </c>
      <c r="BA711" s="11" t="s">
        <v>1274</v>
      </c>
      <c r="BC711" s="29">
        <f t="shared" si="85"/>
        <v>0</v>
      </c>
      <c r="BD711" s="29">
        <f t="shared" si="86"/>
        <v>0</v>
      </c>
      <c r="BE711" s="29">
        <v>0</v>
      </c>
      <c r="BF711" s="29">
        <f>711</f>
        <v>711</v>
      </c>
      <c r="BH711" s="29">
        <f t="shared" si="87"/>
        <v>0</v>
      </c>
      <c r="BI711" s="29">
        <f t="shared" si="88"/>
        <v>0</v>
      </c>
      <c r="BJ711" s="29">
        <f t="shared" si="89"/>
        <v>0</v>
      </c>
      <c r="BK711" s="29"/>
      <c r="BL711" s="29"/>
      <c r="BO711" s="29">
        <f t="shared" si="90"/>
        <v>0</v>
      </c>
      <c r="BW711" s="29">
        <v>21</v>
      </c>
      <c r="BX711" s="5" t="s">
        <v>1277</v>
      </c>
    </row>
    <row r="712" spans="1:76" ht="14.4" x14ac:dyDescent="0.3">
      <c r="A712" s="2" t="s">
        <v>1278</v>
      </c>
      <c r="B712" s="3" t="s">
        <v>1279</v>
      </c>
      <c r="C712" s="87" t="s">
        <v>1280</v>
      </c>
      <c r="D712" s="84"/>
      <c r="E712" s="3" t="s">
        <v>845</v>
      </c>
      <c r="F712" s="29">
        <v>1</v>
      </c>
      <c r="G712" s="29">
        <v>0</v>
      </c>
      <c r="H712" s="29">
        <f t="shared" si="66"/>
        <v>0</v>
      </c>
      <c r="I712" s="29">
        <f t="shared" si="67"/>
        <v>0</v>
      </c>
      <c r="J712" s="29">
        <f t="shared" si="68"/>
        <v>0</v>
      </c>
      <c r="K712" s="30" t="s">
        <v>51</v>
      </c>
      <c r="Z712" s="29">
        <f t="shared" si="69"/>
        <v>0</v>
      </c>
      <c r="AB712" s="29">
        <f t="shared" si="70"/>
        <v>0</v>
      </c>
      <c r="AC712" s="29">
        <f t="shared" si="71"/>
        <v>0</v>
      </c>
      <c r="AD712" s="29">
        <f t="shared" si="72"/>
        <v>0</v>
      </c>
      <c r="AE712" s="29">
        <f t="shared" si="73"/>
        <v>0</v>
      </c>
      <c r="AF712" s="29">
        <f t="shared" si="74"/>
        <v>0</v>
      </c>
      <c r="AG712" s="29">
        <f t="shared" si="75"/>
        <v>0</v>
      </c>
      <c r="AH712" s="29">
        <f t="shared" si="76"/>
        <v>0</v>
      </c>
      <c r="AI712" s="11" t="s">
        <v>1266</v>
      </c>
      <c r="AJ712" s="29">
        <f t="shared" si="77"/>
        <v>0</v>
      </c>
      <c r="AK712" s="29">
        <f t="shared" si="78"/>
        <v>0</v>
      </c>
      <c r="AL712" s="29">
        <f t="shared" si="79"/>
        <v>0</v>
      </c>
      <c r="AN712" s="29">
        <v>21</v>
      </c>
      <c r="AO712" s="29">
        <f t="shared" si="80"/>
        <v>0</v>
      </c>
      <c r="AP712" s="29">
        <f t="shared" si="81"/>
        <v>0</v>
      </c>
      <c r="AQ712" s="31" t="s">
        <v>613</v>
      </c>
      <c r="AV712" s="29">
        <f t="shared" si="82"/>
        <v>0</v>
      </c>
      <c r="AW712" s="29">
        <f t="shared" si="83"/>
        <v>0</v>
      </c>
      <c r="AX712" s="29">
        <f t="shared" si="84"/>
        <v>0</v>
      </c>
      <c r="AY712" s="31" t="s">
        <v>1272</v>
      </c>
      <c r="AZ712" s="31" t="s">
        <v>1273</v>
      </c>
      <c r="BA712" s="11" t="s">
        <v>1274</v>
      </c>
      <c r="BC712" s="29">
        <f t="shared" si="85"/>
        <v>0</v>
      </c>
      <c r="BD712" s="29">
        <f t="shared" si="86"/>
        <v>0</v>
      </c>
      <c r="BE712" s="29">
        <v>0</v>
      </c>
      <c r="BF712" s="29">
        <f>712</f>
        <v>712</v>
      </c>
      <c r="BH712" s="29">
        <f t="shared" si="87"/>
        <v>0</v>
      </c>
      <c r="BI712" s="29">
        <f t="shared" si="88"/>
        <v>0</v>
      </c>
      <c r="BJ712" s="29">
        <f t="shared" si="89"/>
        <v>0</v>
      </c>
      <c r="BK712" s="29"/>
      <c r="BL712" s="29"/>
      <c r="BO712" s="29">
        <f t="shared" si="90"/>
        <v>0</v>
      </c>
      <c r="BW712" s="29">
        <v>21</v>
      </c>
      <c r="BX712" s="5" t="s">
        <v>1280</v>
      </c>
    </row>
    <row r="713" spans="1:76" ht="26.4" x14ac:dyDescent="0.3">
      <c r="A713" s="2" t="s">
        <v>1281</v>
      </c>
      <c r="B713" s="3" t="s">
        <v>1282</v>
      </c>
      <c r="C713" s="87" t="s">
        <v>1283</v>
      </c>
      <c r="D713" s="84"/>
      <c r="E713" s="3" t="s">
        <v>845</v>
      </c>
      <c r="F713" s="29">
        <v>1</v>
      </c>
      <c r="G713" s="29">
        <v>0</v>
      </c>
      <c r="H713" s="29">
        <f t="shared" si="66"/>
        <v>0</v>
      </c>
      <c r="I713" s="29">
        <f t="shared" si="67"/>
        <v>0</v>
      </c>
      <c r="J713" s="29">
        <f t="shared" si="68"/>
        <v>0</v>
      </c>
      <c r="K713" s="30" t="s">
        <v>51</v>
      </c>
      <c r="Z713" s="29">
        <f t="shared" si="69"/>
        <v>0</v>
      </c>
      <c r="AB713" s="29">
        <f t="shared" si="70"/>
        <v>0</v>
      </c>
      <c r="AC713" s="29">
        <f t="shared" si="71"/>
        <v>0</v>
      </c>
      <c r="AD713" s="29">
        <f t="shared" si="72"/>
        <v>0</v>
      </c>
      <c r="AE713" s="29">
        <f t="shared" si="73"/>
        <v>0</v>
      </c>
      <c r="AF713" s="29">
        <f t="shared" si="74"/>
        <v>0</v>
      </c>
      <c r="AG713" s="29">
        <f t="shared" si="75"/>
        <v>0</v>
      </c>
      <c r="AH713" s="29">
        <f t="shared" si="76"/>
        <v>0</v>
      </c>
      <c r="AI713" s="11" t="s">
        <v>1266</v>
      </c>
      <c r="AJ713" s="29">
        <f t="shared" si="77"/>
        <v>0</v>
      </c>
      <c r="AK713" s="29">
        <f t="shared" si="78"/>
        <v>0</v>
      </c>
      <c r="AL713" s="29">
        <f t="shared" si="79"/>
        <v>0</v>
      </c>
      <c r="AN713" s="29">
        <v>21</v>
      </c>
      <c r="AO713" s="29">
        <f t="shared" si="80"/>
        <v>0</v>
      </c>
      <c r="AP713" s="29">
        <f t="shared" si="81"/>
        <v>0</v>
      </c>
      <c r="AQ713" s="31" t="s">
        <v>613</v>
      </c>
      <c r="AV713" s="29">
        <f t="shared" si="82"/>
        <v>0</v>
      </c>
      <c r="AW713" s="29">
        <f t="shared" si="83"/>
        <v>0</v>
      </c>
      <c r="AX713" s="29">
        <f t="shared" si="84"/>
        <v>0</v>
      </c>
      <c r="AY713" s="31" t="s">
        <v>1272</v>
      </c>
      <c r="AZ713" s="31" t="s">
        <v>1273</v>
      </c>
      <c r="BA713" s="11" t="s">
        <v>1274</v>
      </c>
      <c r="BC713" s="29">
        <f t="shared" si="85"/>
        <v>0</v>
      </c>
      <c r="BD713" s="29">
        <f t="shared" si="86"/>
        <v>0</v>
      </c>
      <c r="BE713" s="29">
        <v>0</v>
      </c>
      <c r="BF713" s="29">
        <f>713</f>
        <v>713</v>
      </c>
      <c r="BH713" s="29">
        <f t="shared" si="87"/>
        <v>0</v>
      </c>
      <c r="BI713" s="29">
        <f t="shared" si="88"/>
        <v>0</v>
      </c>
      <c r="BJ713" s="29">
        <f t="shared" si="89"/>
        <v>0</v>
      </c>
      <c r="BK713" s="29"/>
      <c r="BL713" s="29"/>
      <c r="BO713" s="29">
        <f t="shared" si="90"/>
        <v>0</v>
      </c>
      <c r="BW713" s="29">
        <v>21</v>
      </c>
      <c r="BX713" s="5" t="s">
        <v>1283</v>
      </c>
    </row>
    <row r="714" spans="1:76" ht="14.4" x14ac:dyDescent="0.3">
      <c r="A714" s="2" t="s">
        <v>1284</v>
      </c>
      <c r="B714" s="3" t="s">
        <v>1285</v>
      </c>
      <c r="C714" s="87" t="s">
        <v>1286</v>
      </c>
      <c r="D714" s="84"/>
      <c r="E714" s="3" t="s">
        <v>845</v>
      </c>
      <c r="F714" s="29">
        <v>1</v>
      </c>
      <c r="G714" s="29">
        <v>0</v>
      </c>
      <c r="H714" s="29">
        <f t="shared" si="66"/>
        <v>0</v>
      </c>
      <c r="I714" s="29">
        <f t="shared" si="67"/>
        <v>0</v>
      </c>
      <c r="J714" s="29">
        <f t="shared" si="68"/>
        <v>0</v>
      </c>
      <c r="K714" s="30" t="s">
        <v>51</v>
      </c>
      <c r="Z714" s="29">
        <f t="shared" si="69"/>
        <v>0</v>
      </c>
      <c r="AB714" s="29">
        <f t="shared" si="70"/>
        <v>0</v>
      </c>
      <c r="AC714" s="29">
        <f t="shared" si="71"/>
        <v>0</v>
      </c>
      <c r="AD714" s="29">
        <f t="shared" si="72"/>
        <v>0</v>
      </c>
      <c r="AE714" s="29">
        <f t="shared" si="73"/>
        <v>0</v>
      </c>
      <c r="AF714" s="29">
        <f t="shared" si="74"/>
        <v>0</v>
      </c>
      <c r="AG714" s="29">
        <f t="shared" si="75"/>
        <v>0</v>
      </c>
      <c r="AH714" s="29">
        <f t="shared" si="76"/>
        <v>0</v>
      </c>
      <c r="AI714" s="11" t="s">
        <v>1266</v>
      </c>
      <c r="AJ714" s="29">
        <f t="shared" si="77"/>
        <v>0</v>
      </c>
      <c r="AK714" s="29">
        <f t="shared" si="78"/>
        <v>0</v>
      </c>
      <c r="AL714" s="29">
        <f t="shared" si="79"/>
        <v>0</v>
      </c>
      <c r="AN714" s="29">
        <v>21</v>
      </c>
      <c r="AO714" s="29">
        <f t="shared" si="80"/>
        <v>0</v>
      </c>
      <c r="AP714" s="29">
        <f t="shared" si="81"/>
        <v>0</v>
      </c>
      <c r="AQ714" s="31" t="s">
        <v>613</v>
      </c>
      <c r="AV714" s="29">
        <f t="shared" si="82"/>
        <v>0</v>
      </c>
      <c r="AW714" s="29">
        <f t="shared" si="83"/>
        <v>0</v>
      </c>
      <c r="AX714" s="29">
        <f t="shared" si="84"/>
        <v>0</v>
      </c>
      <c r="AY714" s="31" t="s">
        <v>1272</v>
      </c>
      <c r="AZ714" s="31" t="s">
        <v>1273</v>
      </c>
      <c r="BA714" s="11" t="s">
        <v>1274</v>
      </c>
      <c r="BC714" s="29">
        <f t="shared" si="85"/>
        <v>0</v>
      </c>
      <c r="BD714" s="29">
        <f t="shared" si="86"/>
        <v>0</v>
      </c>
      <c r="BE714" s="29">
        <v>0</v>
      </c>
      <c r="BF714" s="29">
        <f>714</f>
        <v>714</v>
      </c>
      <c r="BH714" s="29">
        <f t="shared" si="87"/>
        <v>0</v>
      </c>
      <c r="BI714" s="29">
        <f t="shared" si="88"/>
        <v>0</v>
      </c>
      <c r="BJ714" s="29">
        <f t="shared" si="89"/>
        <v>0</v>
      </c>
      <c r="BK714" s="29"/>
      <c r="BL714" s="29"/>
      <c r="BO714" s="29">
        <f t="shared" si="90"/>
        <v>0</v>
      </c>
      <c r="BW714" s="29">
        <v>21</v>
      </c>
      <c r="BX714" s="5" t="s">
        <v>1286</v>
      </c>
    </row>
    <row r="715" spans="1:76" ht="26.4" x14ac:dyDescent="0.3">
      <c r="A715" s="2" t="s">
        <v>1287</v>
      </c>
      <c r="B715" s="3" t="s">
        <v>1288</v>
      </c>
      <c r="C715" s="87" t="s">
        <v>1289</v>
      </c>
      <c r="D715" s="84"/>
      <c r="E715" s="3" t="s">
        <v>845</v>
      </c>
      <c r="F715" s="29">
        <v>1</v>
      </c>
      <c r="G715" s="29">
        <v>0</v>
      </c>
      <c r="H715" s="29">
        <f t="shared" si="66"/>
        <v>0</v>
      </c>
      <c r="I715" s="29">
        <f t="shared" si="67"/>
        <v>0</v>
      </c>
      <c r="J715" s="29">
        <f t="shared" si="68"/>
        <v>0</v>
      </c>
      <c r="K715" s="30" t="s">
        <v>51</v>
      </c>
      <c r="Z715" s="29">
        <f t="shared" si="69"/>
        <v>0</v>
      </c>
      <c r="AB715" s="29">
        <f t="shared" si="70"/>
        <v>0</v>
      </c>
      <c r="AC715" s="29">
        <f t="shared" si="71"/>
        <v>0</v>
      </c>
      <c r="AD715" s="29">
        <f t="shared" si="72"/>
        <v>0</v>
      </c>
      <c r="AE715" s="29">
        <f t="shared" si="73"/>
        <v>0</v>
      </c>
      <c r="AF715" s="29">
        <f t="shared" si="74"/>
        <v>0</v>
      </c>
      <c r="AG715" s="29">
        <f t="shared" si="75"/>
        <v>0</v>
      </c>
      <c r="AH715" s="29">
        <f t="shared" si="76"/>
        <v>0</v>
      </c>
      <c r="AI715" s="11" t="s">
        <v>1266</v>
      </c>
      <c r="AJ715" s="29">
        <f t="shared" si="77"/>
        <v>0</v>
      </c>
      <c r="AK715" s="29">
        <f t="shared" si="78"/>
        <v>0</v>
      </c>
      <c r="AL715" s="29">
        <f t="shared" si="79"/>
        <v>0</v>
      </c>
      <c r="AN715" s="29">
        <v>21</v>
      </c>
      <c r="AO715" s="29">
        <f t="shared" si="80"/>
        <v>0</v>
      </c>
      <c r="AP715" s="29">
        <f t="shared" si="81"/>
        <v>0</v>
      </c>
      <c r="AQ715" s="31" t="s">
        <v>613</v>
      </c>
      <c r="AV715" s="29">
        <f t="shared" si="82"/>
        <v>0</v>
      </c>
      <c r="AW715" s="29">
        <f t="shared" si="83"/>
        <v>0</v>
      </c>
      <c r="AX715" s="29">
        <f t="shared" si="84"/>
        <v>0</v>
      </c>
      <c r="AY715" s="31" t="s">
        <v>1272</v>
      </c>
      <c r="AZ715" s="31" t="s">
        <v>1273</v>
      </c>
      <c r="BA715" s="11" t="s">
        <v>1274</v>
      </c>
      <c r="BC715" s="29">
        <f t="shared" si="85"/>
        <v>0</v>
      </c>
      <c r="BD715" s="29">
        <f t="shared" si="86"/>
        <v>0</v>
      </c>
      <c r="BE715" s="29">
        <v>0</v>
      </c>
      <c r="BF715" s="29">
        <f>715</f>
        <v>715</v>
      </c>
      <c r="BH715" s="29">
        <f t="shared" si="87"/>
        <v>0</v>
      </c>
      <c r="BI715" s="29">
        <f t="shared" si="88"/>
        <v>0</v>
      </c>
      <c r="BJ715" s="29">
        <f t="shared" si="89"/>
        <v>0</v>
      </c>
      <c r="BK715" s="29"/>
      <c r="BL715" s="29"/>
      <c r="BO715" s="29">
        <f t="shared" si="90"/>
        <v>0</v>
      </c>
      <c r="BW715" s="29">
        <v>21</v>
      </c>
      <c r="BX715" s="5" t="s">
        <v>1289</v>
      </c>
    </row>
    <row r="716" spans="1:76" ht="26.4" x14ac:dyDescent="0.3">
      <c r="A716" s="2" t="s">
        <v>1290</v>
      </c>
      <c r="B716" s="3" t="s">
        <v>1291</v>
      </c>
      <c r="C716" s="87" t="s">
        <v>1292</v>
      </c>
      <c r="D716" s="84"/>
      <c r="E716" s="3" t="s">
        <v>845</v>
      </c>
      <c r="F716" s="29">
        <v>1</v>
      </c>
      <c r="G716" s="29">
        <v>0</v>
      </c>
      <c r="H716" s="29">
        <f t="shared" si="66"/>
        <v>0</v>
      </c>
      <c r="I716" s="29">
        <f t="shared" si="67"/>
        <v>0</v>
      </c>
      <c r="J716" s="29">
        <f t="shared" si="68"/>
        <v>0</v>
      </c>
      <c r="K716" s="30" t="s">
        <v>51</v>
      </c>
      <c r="Z716" s="29">
        <f t="shared" si="69"/>
        <v>0</v>
      </c>
      <c r="AB716" s="29">
        <f t="shared" si="70"/>
        <v>0</v>
      </c>
      <c r="AC716" s="29">
        <f t="shared" si="71"/>
        <v>0</v>
      </c>
      <c r="AD716" s="29">
        <f t="shared" si="72"/>
        <v>0</v>
      </c>
      <c r="AE716" s="29">
        <f t="shared" si="73"/>
        <v>0</v>
      </c>
      <c r="AF716" s="29">
        <f t="shared" si="74"/>
        <v>0</v>
      </c>
      <c r="AG716" s="29">
        <f t="shared" si="75"/>
        <v>0</v>
      </c>
      <c r="AH716" s="29">
        <f t="shared" si="76"/>
        <v>0</v>
      </c>
      <c r="AI716" s="11" t="s">
        <v>1266</v>
      </c>
      <c r="AJ716" s="29">
        <f t="shared" si="77"/>
        <v>0</v>
      </c>
      <c r="AK716" s="29">
        <f t="shared" si="78"/>
        <v>0</v>
      </c>
      <c r="AL716" s="29">
        <f t="shared" si="79"/>
        <v>0</v>
      </c>
      <c r="AN716" s="29">
        <v>21</v>
      </c>
      <c r="AO716" s="29">
        <f t="shared" si="80"/>
        <v>0</v>
      </c>
      <c r="AP716" s="29">
        <f t="shared" si="81"/>
        <v>0</v>
      </c>
      <c r="AQ716" s="31" t="s">
        <v>613</v>
      </c>
      <c r="AV716" s="29">
        <f t="shared" si="82"/>
        <v>0</v>
      </c>
      <c r="AW716" s="29">
        <f t="shared" si="83"/>
        <v>0</v>
      </c>
      <c r="AX716" s="29">
        <f t="shared" si="84"/>
        <v>0</v>
      </c>
      <c r="AY716" s="31" t="s">
        <v>1272</v>
      </c>
      <c r="AZ716" s="31" t="s">
        <v>1273</v>
      </c>
      <c r="BA716" s="11" t="s">
        <v>1274</v>
      </c>
      <c r="BC716" s="29">
        <f t="shared" si="85"/>
        <v>0</v>
      </c>
      <c r="BD716" s="29">
        <f t="shared" si="86"/>
        <v>0</v>
      </c>
      <c r="BE716" s="29">
        <v>0</v>
      </c>
      <c r="BF716" s="29">
        <f>716</f>
        <v>716</v>
      </c>
      <c r="BH716" s="29">
        <f t="shared" si="87"/>
        <v>0</v>
      </c>
      <c r="BI716" s="29">
        <f t="shared" si="88"/>
        <v>0</v>
      </c>
      <c r="BJ716" s="29">
        <f t="shared" si="89"/>
        <v>0</v>
      </c>
      <c r="BK716" s="29"/>
      <c r="BL716" s="29"/>
      <c r="BO716" s="29">
        <f t="shared" si="90"/>
        <v>0</v>
      </c>
      <c r="BW716" s="29">
        <v>21</v>
      </c>
      <c r="BX716" s="5" t="s">
        <v>1292</v>
      </c>
    </row>
    <row r="717" spans="1:76" ht="14.4" x14ac:dyDescent="0.3">
      <c r="A717" s="2" t="s">
        <v>1293</v>
      </c>
      <c r="B717" s="3" t="s">
        <v>1294</v>
      </c>
      <c r="C717" s="87" t="s">
        <v>1295</v>
      </c>
      <c r="D717" s="84"/>
      <c r="E717" s="3" t="s">
        <v>845</v>
      </c>
      <c r="F717" s="29">
        <v>1</v>
      </c>
      <c r="G717" s="29">
        <v>0</v>
      </c>
      <c r="H717" s="29">
        <f t="shared" si="66"/>
        <v>0</v>
      </c>
      <c r="I717" s="29">
        <f t="shared" si="67"/>
        <v>0</v>
      </c>
      <c r="J717" s="29">
        <f t="shared" si="68"/>
        <v>0</v>
      </c>
      <c r="K717" s="30" t="s">
        <v>51</v>
      </c>
      <c r="Z717" s="29">
        <f t="shared" si="69"/>
        <v>0</v>
      </c>
      <c r="AB717" s="29">
        <f t="shared" si="70"/>
        <v>0</v>
      </c>
      <c r="AC717" s="29">
        <f t="shared" si="71"/>
        <v>0</v>
      </c>
      <c r="AD717" s="29">
        <f t="shared" si="72"/>
        <v>0</v>
      </c>
      <c r="AE717" s="29">
        <f t="shared" si="73"/>
        <v>0</v>
      </c>
      <c r="AF717" s="29">
        <f t="shared" si="74"/>
        <v>0</v>
      </c>
      <c r="AG717" s="29">
        <f t="shared" si="75"/>
        <v>0</v>
      </c>
      <c r="AH717" s="29">
        <f t="shared" si="76"/>
        <v>0</v>
      </c>
      <c r="AI717" s="11" t="s">
        <v>1266</v>
      </c>
      <c r="AJ717" s="29">
        <f t="shared" si="77"/>
        <v>0</v>
      </c>
      <c r="AK717" s="29">
        <f t="shared" si="78"/>
        <v>0</v>
      </c>
      <c r="AL717" s="29">
        <f t="shared" si="79"/>
        <v>0</v>
      </c>
      <c r="AN717" s="29">
        <v>21</v>
      </c>
      <c r="AO717" s="29">
        <f t="shared" si="80"/>
        <v>0</v>
      </c>
      <c r="AP717" s="29">
        <f t="shared" si="81"/>
        <v>0</v>
      </c>
      <c r="AQ717" s="31" t="s">
        <v>613</v>
      </c>
      <c r="AV717" s="29">
        <f t="shared" si="82"/>
        <v>0</v>
      </c>
      <c r="AW717" s="29">
        <f t="shared" si="83"/>
        <v>0</v>
      </c>
      <c r="AX717" s="29">
        <f t="shared" si="84"/>
        <v>0</v>
      </c>
      <c r="AY717" s="31" t="s">
        <v>1272</v>
      </c>
      <c r="AZ717" s="31" t="s">
        <v>1273</v>
      </c>
      <c r="BA717" s="11" t="s">
        <v>1274</v>
      </c>
      <c r="BC717" s="29">
        <f t="shared" si="85"/>
        <v>0</v>
      </c>
      <c r="BD717" s="29">
        <f t="shared" si="86"/>
        <v>0</v>
      </c>
      <c r="BE717" s="29">
        <v>0</v>
      </c>
      <c r="BF717" s="29">
        <f>717</f>
        <v>717</v>
      </c>
      <c r="BH717" s="29">
        <f t="shared" si="87"/>
        <v>0</v>
      </c>
      <c r="BI717" s="29">
        <f t="shared" si="88"/>
        <v>0</v>
      </c>
      <c r="BJ717" s="29">
        <f t="shared" si="89"/>
        <v>0</v>
      </c>
      <c r="BK717" s="29"/>
      <c r="BL717" s="29"/>
      <c r="BO717" s="29">
        <f t="shared" si="90"/>
        <v>0</v>
      </c>
      <c r="BW717" s="29">
        <v>21</v>
      </c>
      <c r="BX717" s="5" t="s">
        <v>1295</v>
      </c>
    </row>
    <row r="718" spans="1:76" ht="14.4" x14ac:dyDescent="0.3">
      <c r="A718" s="2" t="s">
        <v>1296</v>
      </c>
      <c r="B718" s="3" t="s">
        <v>1297</v>
      </c>
      <c r="C718" s="87" t="s">
        <v>1298</v>
      </c>
      <c r="D718" s="84"/>
      <c r="E718" s="3" t="s">
        <v>845</v>
      </c>
      <c r="F718" s="29">
        <v>1</v>
      </c>
      <c r="G718" s="29">
        <v>0</v>
      </c>
      <c r="H718" s="29">
        <f t="shared" si="66"/>
        <v>0</v>
      </c>
      <c r="I718" s="29">
        <f t="shared" si="67"/>
        <v>0</v>
      </c>
      <c r="J718" s="29">
        <f t="shared" si="68"/>
        <v>0</v>
      </c>
      <c r="K718" s="30" t="s">
        <v>51</v>
      </c>
      <c r="Z718" s="29">
        <f t="shared" si="69"/>
        <v>0</v>
      </c>
      <c r="AB718" s="29">
        <f t="shared" si="70"/>
        <v>0</v>
      </c>
      <c r="AC718" s="29">
        <f t="shared" si="71"/>
        <v>0</v>
      </c>
      <c r="AD718" s="29">
        <f t="shared" si="72"/>
        <v>0</v>
      </c>
      <c r="AE718" s="29">
        <f t="shared" si="73"/>
        <v>0</v>
      </c>
      <c r="AF718" s="29">
        <f t="shared" si="74"/>
        <v>0</v>
      </c>
      <c r="AG718" s="29">
        <f t="shared" si="75"/>
        <v>0</v>
      </c>
      <c r="AH718" s="29">
        <f t="shared" si="76"/>
        <v>0</v>
      </c>
      <c r="AI718" s="11" t="s">
        <v>1266</v>
      </c>
      <c r="AJ718" s="29">
        <f t="shared" si="77"/>
        <v>0</v>
      </c>
      <c r="AK718" s="29">
        <f t="shared" si="78"/>
        <v>0</v>
      </c>
      <c r="AL718" s="29">
        <f t="shared" si="79"/>
        <v>0</v>
      </c>
      <c r="AN718" s="29">
        <v>21</v>
      </c>
      <c r="AO718" s="29">
        <f t="shared" si="80"/>
        <v>0</v>
      </c>
      <c r="AP718" s="29">
        <f t="shared" si="81"/>
        <v>0</v>
      </c>
      <c r="AQ718" s="31" t="s">
        <v>613</v>
      </c>
      <c r="AV718" s="29">
        <f t="shared" si="82"/>
        <v>0</v>
      </c>
      <c r="AW718" s="29">
        <f t="shared" si="83"/>
        <v>0</v>
      </c>
      <c r="AX718" s="29">
        <f t="shared" si="84"/>
        <v>0</v>
      </c>
      <c r="AY718" s="31" t="s">
        <v>1272</v>
      </c>
      <c r="AZ718" s="31" t="s">
        <v>1273</v>
      </c>
      <c r="BA718" s="11" t="s">
        <v>1274</v>
      </c>
      <c r="BC718" s="29">
        <f t="shared" si="85"/>
        <v>0</v>
      </c>
      <c r="BD718" s="29">
        <f t="shared" si="86"/>
        <v>0</v>
      </c>
      <c r="BE718" s="29">
        <v>0</v>
      </c>
      <c r="BF718" s="29">
        <f>718</f>
        <v>718</v>
      </c>
      <c r="BH718" s="29">
        <f t="shared" si="87"/>
        <v>0</v>
      </c>
      <c r="BI718" s="29">
        <f t="shared" si="88"/>
        <v>0</v>
      </c>
      <c r="BJ718" s="29">
        <f t="shared" si="89"/>
        <v>0</v>
      </c>
      <c r="BK718" s="29"/>
      <c r="BL718" s="29"/>
      <c r="BO718" s="29">
        <f t="shared" si="90"/>
        <v>0</v>
      </c>
      <c r="BW718" s="29">
        <v>21</v>
      </c>
      <c r="BX718" s="5" t="s">
        <v>1298</v>
      </c>
    </row>
    <row r="719" spans="1:76" ht="14.4" x14ac:dyDescent="0.3">
      <c r="A719" s="2" t="s">
        <v>1299</v>
      </c>
      <c r="B719" s="3" t="s">
        <v>1300</v>
      </c>
      <c r="C719" s="87" t="s">
        <v>1301</v>
      </c>
      <c r="D719" s="84"/>
      <c r="E719" s="3" t="s">
        <v>845</v>
      </c>
      <c r="F719" s="29">
        <v>1</v>
      </c>
      <c r="G719" s="29">
        <v>0</v>
      </c>
      <c r="H719" s="29">
        <f t="shared" si="66"/>
        <v>0</v>
      </c>
      <c r="I719" s="29">
        <f t="shared" si="67"/>
        <v>0</v>
      </c>
      <c r="J719" s="29">
        <f t="shared" si="68"/>
        <v>0</v>
      </c>
      <c r="K719" s="30" t="s">
        <v>51</v>
      </c>
      <c r="Z719" s="29">
        <f t="shared" si="69"/>
        <v>0</v>
      </c>
      <c r="AB719" s="29">
        <f t="shared" si="70"/>
        <v>0</v>
      </c>
      <c r="AC719" s="29">
        <f t="shared" si="71"/>
        <v>0</v>
      </c>
      <c r="AD719" s="29">
        <f t="shared" si="72"/>
        <v>0</v>
      </c>
      <c r="AE719" s="29">
        <f t="shared" si="73"/>
        <v>0</v>
      </c>
      <c r="AF719" s="29">
        <f t="shared" si="74"/>
        <v>0</v>
      </c>
      <c r="AG719" s="29">
        <f t="shared" si="75"/>
        <v>0</v>
      </c>
      <c r="AH719" s="29">
        <f t="shared" si="76"/>
        <v>0</v>
      </c>
      <c r="AI719" s="11" t="s">
        <v>1266</v>
      </c>
      <c r="AJ719" s="29">
        <f t="shared" si="77"/>
        <v>0</v>
      </c>
      <c r="AK719" s="29">
        <f t="shared" si="78"/>
        <v>0</v>
      </c>
      <c r="AL719" s="29">
        <f t="shared" si="79"/>
        <v>0</v>
      </c>
      <c r="AN719" s="29">
        <v>21</v>
      </c>
      <c r="AO719" s="29">
        <f t="shared" si="80"/>
        <v>0</v>
      </c>
      <c r="AP719" s="29">
        <f t="shared" si="81"/>
        <v>0</v>
      </c>
      <c r="AQ719" s="31" t="s">
        <v>613</v>
      </c>
      <c r="AV719" s="29">
        <f t="shared" si="82"/>
        <v>0</v>
      </c>
      <c r="AW719" s="29">
        <f t="shared" si="83"/>
        <v>0</v>
      </c>
      <c r="AX719" s="29">
        <f t="shared" si="84"/>
        <v>0</v>
      </c>
      <c r="AY719" s="31" t="s">
        <v>1272</v>
      </c>
      <c r="AZ719" s="31" t="s">
        <v>1273</v>
      </c>
      <c r="BA719" s="11" t="s">
        <v>1274</v>
      </c>
      <c r="BC719" s="29">
        <f t="shared" si="85"/>
        <v>0</v>
      </c>
      <c r="BD719" s="29">
        <f t="shared" si="86"/>
        <v>0</v>
      </c>
      <c r="BE719" s="29">
        <v>0</v>
      </c>
      <c r="BF719" s="29">
        <f>719</f>
        <v>719</v>
      </c>
      <c r="BH719" s="29">
        <f t="shared" si="87"/>
        <v>0</v>
      </c>
      <c r="BI719" s="29">
        <f t="shared" si="88"/>
        <v>0</v>
      </c>
      <c r="BJ719" s="29">
        <f t="shared" si="89"/>
        <v>0</v>
      </c>
      <c r="BK719" s="29"/>
      <c r="BL719" s="29"/>
      <c r="BO719" s="29">
        <f t="shared" si="90"/>
        <v>0</v>
      </c>
      <c r="BW719" s="29">
        <v>21</v>
      </c>
      <c r="BX719" s="5" t="s">
        <v>1301</v>
      </c>
    </row>
    <row r="720" spans="1:76" ht="14.4" x14ac:dyDescent="0.3">
      <c r="A720" s="2" t="s">
        <v>1302</v>
      </c>
      <c r="B720" s="3" t="s">
        <v>1303</v>
      </c>
      <c r="C720" s="87" t="s">
        <v>1304</v>
      </c>
      <c r="D720" s="84"/>
      <c r="E720" s="3" t="s">
        <v>845</v>
      </c>
      <c r="F720" s="29">
        <v>1</v>
      </c>
      <c r="G720" s="29">
        <v>0</v>
      </c>
      <c r="H720" s="29">
        <f t="shared" si="66"/>
        <v>0</v>
      </c>
      <c r="I720" s="29">
        <f t="shared" si="67"/>
        <v>0</v>
      </c>
      <c r="J720" s="29">
        <f t="shared" si="68"/>
        <v>0</v>
      </c>
      <c r="K720" s="30" t="s">
        <v>51</v>
      </c>
      <c r="Z720" s="29">
        <f t="shared" si="69"/>
        <v>0</v>
      </c>
      <c r="AB720" s="29">
        <f t="shared" si="70"/>
        <v>0</v>
      </c>
      <c r="AC720" s="29">
        <f t="shared" si="71"/>
        <v>0</v>
      </c>
      <c r="AD720" s="29">
        <f t="shared" si="72"/>
        <v>0</v>
      </c>
      <c r="AE720" s="29">
        <f t="shared" si="73"/>
        <v>0</v>
      </c>
      <c r="AF720" s="29">
        <f t="shared" si="74"/>
        <v>0</v>
      </c>
      <c r="AG720" s="29">
        <f t="shared" si="75"/>
        <v>0</v>
      </c>
      <c r="AH720" s="29">
        <f t="shared" si="76"/>
        <v>0</v>
      </c>
      <c r="AI720" s="11" t="s">
        <v>1266</v>
      </c>
      <c r="AJ720" s="29">
        <f t="shared" si="77"/>
        <v>0</v>
      </c>
      <c r="AK720" s="29">
        <f t="shared" si="78"/>
        <v>0</v>
      </c>
      <c r="AL720" s="29">
        <f t="shared" si="79"/>
        <v>0</v>
      </c>
      <c r="AN720" s="29">
        <v>21</v>
      </c>
      <c r="AO720" s="29">
        <f t="shared" si="80"/>
        <v>0</v>
      </c>
      <c r="AP720" s="29">
        <f t="shared" si="81"/>
        <v>0</v>
      </c>
      <c r="AQ720" s="31" t="s">
        <v>613</v>
      </c>
      <c r="AV720" s="29">
        <f t="shared" si="82"/>
        <v>0</v>
      </c>
      <c r="AW720" s="29">
        <f t="shared" si="83"/>
        <v>0</v>
      </c>
      <c r="AX720" s="29">
        <f t="shared" si="84"/>
        <v>0</v>
      </c>
      <c r="AY720" s="31" t="s">
        <v>1272</v>
      </c>
      <c r="AZ720" s="31" t="s">
        <v>1273</v>
      </c>
      <c r="BA720" s="11" t="s">
        <v>1274</v>
      </c>
      <c r="BC720" s="29">
        <f t="shared" si="85"/>
        <v>0</v>
      </c>
      <c r="BD720" s="29">
        <f t="shared" si="86"/>
        <v>0</v>
      </c>
      <c r="BE720" s="29">
        <v>0</v>
      </c>
      <c r="BF720" s="29">
        <f>720</f>
        <v>720</v>
      </c>
      <c r="BH720" s="29">
        <f t="shared" si="87"/>
        <v>0</v>
      </c>
      <c r="BI720" s="29">
        <f t="shared" si="88"/>
        <v>0</v>
      </c>
      <c r="BJ720" s="29">
        <f t="shared" si="89"/>
        <v>0</v>
      </c>
      <c r="BK720" s="29"/>
      <c r="BL720" s="29"/>
      <c r="BO720" s="29">
        <f t="shared" si="90"/>
        <v>0</v>
      </c>
      <c r="BW720" s="29">
        <v>21</v>
      </c>
      <c r="BX720" s="5" t="s">
        <v>1304</v>
      </c>
    </row>
    <row r="721" spans="1:76" ht="14.4" x14ac:dyDescent="0.3">
      <c r="A721" s="2" t="s">
        <v>1305</v>
      </c>
      <c r="B721" s="3" t="s">
        <v>1306</v>
      </c>
      <c r="C721" s="87" t="s">
        <v>1307</v>
      </c>
      <c r="D721" s="84"/>
      <c r="E721" s="3" t="s">
        <v>845</v>
      </c>
      <c r="F721" s="29">
        <v>1</v>
      </c>
      <c r="G721" s="29">
        <v>0</v>
      </c>
      <c r="H721" s="29">
        <f t="shared" si="66"/>
        <v>0</v>
      </c>
      <c r="I721" s="29">
        <f t="shared" si="67"/>
        <v>0</v>
      </c>
      <c r="J721" s="29">
        <f t="shared" si="68"/>
        <v>0</v>
      </c>
      <c r="K721" s="30" t="s">
        <v>51</v>
      </c>
      <c r="Z721" s="29">
        <f t="shared" si="69"/>
        <v>0</v>
      </c>
      <c r="AB721" s="29">
        <f t="shared" si="70"/>
        <v>0</v>
      </c>
      <c r="AC721" s="29">
        <f t="shared" si="71"/>
        <v>0</v>
      </c>
      <c r="AD721" s="29">
        <f t="shared" si="72"/>
        <v>0</v>
      </c>
      <c r="AE721" s="29">
        <f t="shared" si="73"/>
        <v>0</v>
      </c>
      <c r="AF721" s="29">
        <f t="shared" si="74"/>
        <v>0</v>
      </c>
      <c r="AG721" s="29">
        <f t="shared" si="75"/>
        <v>0</v>
      </c>
      <c r="AH721" s="29">
        <f t="shared" si="76"/>
        <v>0</v>
      </c>
      <c r="AI721" s="11" t="s">
        <v>1266</v>
      </c>
      <c r="AJ721" s="29">
        <f t="shared" si="77"/>
        <v>0</v>
      </c>
      <c r="AK721" s="29">
        <f t="shared" si="78"/>
        <v>0</v>
      </c>
      <c r="AL721" s="29">
        <f t="shared" si="79"/>
        <v>0</v>
      </c>
      <c r="AN721" s="29">
        <v>21</v>
      </c>
      <c r="AO721" s="29">
        <f t="shared" si="80"/>
        <v>0</v>
      </c>
      <c r="AP721" s="29">
        <f t="shared" si="81"/>
        <v>0</v>
      </c>
      <c r="AQ721" s="31" t="s">
        <v>613</v>
      </c>
      <c r="AV721" s="29">
        <f t="shared" si="82"/>
        <v>0</v>
      </c>
      <c r="AW721" s="29">
        <f t="shared" si="83"/>
        <v>0</v>
      </c>
      <c r="AX721" s="29">
        <f t="shared" si="84"/>
        <v>0</v>
      </c>
      <c r="AY721" s="31" t="s">
        <v>1272</v>
      </c>
      <c r="AZ721" s="31" t="s">
        <v>1273</v>
      </c>
      <c r="BA721" s="11" t="s">
        <v>1274</v>
      </c>
      <c r="BC721" s="29">
        <f t="shared" si="85"/>
        <v>0</v>
      </c>
      <c r="BD721" s="29">
        <f t="shared" si="86"/>
        <v>0</v>
      </c>
      <c r="BE721" s="29">
        <v>0</v>
      </c>
      <c r="BF721" s="29">
        <f>721</f>
        <v>721</v>
      </c>
      <c r="BH721" s="29">
        <f t="shared" si="87"/>
        <v>0</v>
      </c>
      <c r="BI721" s="29">
        <f t="shared" si="88"/>
        <v>0</v>
      </c>
      <c r="BJ721" s="29">
        <f t="shared" si="89"/>
        <v>0</v>
      </c>
      <c r="BK721" s="29"/>
      <c r="BL721" s="29"/>
      <c r="BO721" s="29">
        <f t="shared" si="90"/>
        <v>0</v>
      </c>
      <c r="BW721" s="29">
        <v>21</v>
      </c>
      <c r="BX721" s="5" t="s">
        <v>1307</v>
      </c>
    </row>
    <row r="722" spans="1:76" ht="14.4" x14ac:dyDescent="0.3">
      <c r="A722" s="39" t="s">
        <v>1308</v>
      </c>
      <c r="B722" s="40" t="s">
        <v>1309</v>
      </c>
      <c r="C722" s="148" t="s">
        <v>1310</v>
      </c>
      <c r="D722" s="94"/>
      <c r="E722" s="40" t="s">
        <v>845</v>
      </c>
      <c r="F722" s="41">
        <v>1</v>
      </c>
      <c r="G722" s="41">
        <v>0</v>
      </c>
      <c r="H722" s="41">
        <f t="shared" si="66"/>
        <v>0</v>
      </c>
      <c r="I722" s="41">
        <f t="shared" si="67"/>
        <v>0</v>
      </c>
      <c r="J722" s="41">
        <f t="shared" si="68"/>
        <v>0</v>
      </c>
      <c r="K722" s="42" t="s">
        <v>51</v>
      </c>
      <c r="Z722" s="29">
        <f t="shared" si="69"/>
        <v>0</v>
      </c>
      <c r="AB722" s="29">
        <f t="shared" si="70"/>
        <v>0</v>
      </c>
      <c r="AC722" s="29">
        <f t="shared" si="71"/>
        <v>0</v>
      </c>
      <c r="AD722" s="29">
        <f t="shared" si="72"/>
        <v>0</v>
      </c>
      <c r="AE722" s="29">
        <f t="shared" si="73"/>
        <v>0</v>
      </c>
      <c r="AF722" s="29">
        <f t="shared" si="74"/>
        <v>0</v>
      </c>
      <c r="AG722" s="29">
        <f t="shared" si="75"/>
        <v>0</v>
      </c>
      <c r="AH722" s="29">
        <f t="shared" si="76"/>
        <v>0</v>
      </c>
      <c r="AI722" s="11" t="s">
        <v>1266</v>
      </c>
      <c r="AJ722" s="29">
        <f t="shared" si="77"/>
        <v>0</v>
      </c>
      <c r="AK722" s="29">
        <f t="shared" si="78"/>
        <v>0</v>
      </c>
      <c r="AL722" s="29">
        <f t="shared" si="79"/>
        <v>0</v>
      </c>
      <c r="AN722" s="29">
        <v>21</v>
      </c>
      <c r="AO722" s="29">
        <f t="shared" si="80"/>
        <v>0</v>
      </c>
      <c r="AP722" s="29">
        <f t="shared" si="81"/>
        <v>0</v>
      </c>
      <c r="AQ722" s="31" t="s">
        <v>613</v>
      </c>
      <c r="AV722" s="29">
        <f t="shared" si="82"/>
        <v>0</v>
      </c>
      <c r="AW722" s="29">
        <f t="shared" si="83"/>
        <v>0</v>
      </c>
      <c r="AX722" s="29">
        <f t="shared" si="84"/>
        <v>0</v>
      </c>
      <c r="AY722" s="31" t="s">
        <v>1272</v>
      </c>
      <c r="AZ722" s="31" t="s">
        <v>1273</v>
      </c>
      <c r="BA722" s="11" t="s">
        <v>1274</v>
      </c>
      <c r="BC722" s="29">
        <f t="shared" si="85"/>
        <v>0</v>
      </c>
      <c r="BD722" s="29">
        <f t="shared" si="86"/>
        <v>0</v>
      </c>
      <c r="BE722" s="29">
        <v>0</v>
      </c>
      <c r="BF722" s="29">
        <f>722</f>
        <v>722</v>
      </c>
      <c r="BH722" s="29">
        <f t="shared" si="87"/>
        <v>0</v>
      </c>
      <c r="BI722" s="29">
        <f t="shared" si="88"/>
        <v>0</v>
      </c>
      <c r="BJ722" s="29">
        <f t="shared" si="89"/>
        <v>0</v>
      </c>
      <c r="BK722" s="29"/>
      <c r="BL722" s="29"/>
      <c r="BO722" s="29">
        <f t="shared" si="90"/>
        <v>0</v>
      </c>
      <c r="BW722" s="29">
        <v>21</v>
      </c>
      <c r="BX722" s="5" t="s">
        <v>1310</v>
      </c>
    </row>
    <row r="723" spans="1:76" ht="14.4" x14ac:dyDescent="0.3">
      <c r="H723" s="147" t="s">
        <v>1311</v>
      </c>
      <c r="I723" s="147"/>
      <c r="J723" s="43">
        <f>J13+J40+J49+J54+J63+J70+J80+J99+J117+J119+J122+J128+J143+J149+J158+J166+J195+J234+J239+J244+J251+J254+J296+J309+J317+J340+J384+J402+J404+J435+J444+J447+J454+J470+J488+J497+J502+J552+J577+J598+J603+J622+J627+J634+J644+J649+J651+J657+J660+J662+J677+J699+J705+J709</f>
        <v>0</v>
      </c>
    </row>
    <row r="724" spans="1:76" ht="14.4" x14ac:dyDescent="0.3">
      <c r="A724" s="44" t="s">
        <v>1312</v>
      </c>
    </row>
    <row r="725" spans="1:76" ht="243" customHeight="1" x14ac:dyDescent="0.3">
      <c r="A725" s="87" t="s">
        <v>1313</v>
      </c>
      <c r="B725" s="84"/>
      <c r="C725" s="84"/>
      <c r="D725" s="84"/>
      <c r="E725" s="84"/>
      <c r="F725" s="84"/>
      <c r="G725" s="84"/>
      <c r="H725" s="84"/>
      <c r="I725" s="84"/>
      <c r="J725" s="84"/>
      <c r="K725" s="84"/>
    </row>
  </sheetData>
  <mergeCells count="363">
    <mergeCell ref="H723:I723"/>
    <mergeCell ref="A725:K725"/>
    <mergeCell ref="C718:D718"/>
    <mergeCell ref="C719:D719"/>
    <mergeCell ref="C720:D720"/>
    <mergeCell ref="C721:D721"/>
    <mergeCell ref="C722:D722"/>
    <mergeCell ref="C713:D713"/>
    <mergeCell ref="C714:D714"/>
    <mergeCell ref="C715:D715"/>
    <mergeCell ref="C716:D716"/>
    <mergeCell ref="C717:D717"/>
    <mergeCell ref="C708:D708"/>
    <mergeCell ref="C709:D709"/>
    <mergeCell ref="C710:D710"/>
    <mergeCell ref="C711:D711"/>
    <mergeCell ref="C712:D712"/>
    <mergeCell ref="C703:D703"/>
    <mergeCell ref="C704:D704"/>
    <mergeCell ref="C705:D705"/>
    <mergeCell ref="C706:D706"/>
    <mergeCell ref="C707:D707"/>
    <mergeCell ref="C698:D698"/>
    <mergeCell ref="C699:D699"/>
    <mergeCell ref="C700:D700"/>
    <mergeCell ref="C701:D701"/>
    <mergeCell ref="C702:D702"/>
    <mergeCell ref="C693:D693"/>
    <mergeCell ref="C694:D694"/>
    <mergeCell ref="C695:D695"/>
    <mergeCell ref="C696:D696"/>
    <mergeCell ref="C697:D697"/>
    <mergeCell ref="C688:D688"/>
    <mergeCell ref="C689:D689"/>
    <mergeCell ref="C690:D690"/>
    <mergeCell ref="C691:D691"/>
    <mergeCell ref="C692:D692"/>
    <mergeCell ref="C683:D683"/>
    <mergeCell ref="C684:D684"/>
    <mergeCell ref="C685:D685"/>
    <mergeCell ref="C686:D686"/>
    <mergeCell ref="C687:D687"/>
    <mergeCell ref="C678:D678"/>
    <mergeCell ref="C679:D679"/>
    <mergeCell ref="C680:D680"/>
    <mergeCell ref="C681:D681"/>
    <mergeCell ref="C682:D682"/>
    <mergeCell ref="C673:D673"/>
    <mergeCell ref="C674:D674"/>
    <mergeCell ref="C675:D675"/>
    <mergeCell ref="C676:D676"/>
    <mergeCell ref="C677:D677"/>
    <mergeCell ref="C667:D667"/>
    <mergeCell ref="C669:D669"/>
    <mergeCell ref="C670:D670"/>
    <mergeCell ref="C671:D671"/>
    <mergeCell ref="C672:D672"/>
    <mergeCell ref="C661:D661"/>
    <mergeCell ref="C662:D662"/>
    <mergeCell ref="C663:D663"/>
    <mergeCell ref="C665:D665"/>
    <mergeCell ref="C666:D666"/>
    <mergeCell ref="C656:D656"/>
    <mergeCell ref="C657:D657"/>
    <mergeCell ref="C658:D658"/>
    <mergeCell ref="C659:D659"/>
    <mergeCell ref="C660:D660"/>
    <mergeCell ref="C651:D651"/>
    <mergeCell ref="C652:D652"/>
    <mergeCell ref="C653:D653"/>
    <mergeCell ref="C654:D654"/>
    <mergeCell ref="C655:D655"/>
    <mergeCell ref="C646:D646"/>
    <mergeCell ref="C647:D647"/>
    <mergeCell ref="C648:D648"/>
    <mergeCell ref="C649:D649"/>
    <mergeCell ref="C650:D650"/>
    <mergeCell ref="C641:D641"/>
    <mergeCell ref="C642:D642"/>
    <mergeCell ref="C643:D643"/>
    <mergeCell ref="C644:D644"/>
    <mergeCell ref="C645:D645"/>
    <mergeCell ref="C636:D636"/>
    <mergeCell ref="C637:D637"/>
    <mergeCell ref="C638:D638"/>
    <mergeCell ref="C639:D639"/>
    <mergeCell ref="C640:D640"/>
    <mergeCell ref="C629:D629"/>
    <mergeCell ref="C630:D630"/>
    <mergeCell ref="C632:D632"/>
    <mergeCell ref="C634:D634"/>
    <mergeCell ref="C635:D635"/>
    <mergeCell ref="C623:D623"/>
    <mergeCell ref="C625:D625"/>
    <mergeCell ref="C626:D626"/>
    <mergeCell ref="C627:D627"/>
    <mergeCell ref="C628:D628"/>
    <mergeCell ref="C611:D611"/>
    <mergeCell ref="C615:D615"/>
    <mergeCell ref="C619:D619"/>
    <mergeCell ref="C621:D621"/>
    <mergeCell ref="C622:D622"/>
    <mergeCell ref="C605:D605"/>
    <mergeCell ref="C606:D606"/>
    <mergeCell ref="C607:D607"/>
    <mergeCell ref="C608:D608"/>
    <mergeCell ref="C610:D610"/>
    <mergeCell ref="C598:D598"/>
    <mergeCell ref="C599:D599"/>
    <mergeCell ref="C601:D601"/>
    <mergeCell ref="C603:D603"/>
    <mergeCell ref="C604:D604"/>
    <mergeCell ref="C577:D577"/>
    <mergeCell ref="C578:D578"/>
    <mergeCell ref="C591:D591"/>
    <mergeCell ref="C592:D592"/>
    <mergeCell ref="C596:D596"/>
    <mergeCell ref="C559:D559"/>
    <mergeCell ref="C561:D561"/>
    <mergeCell ref="C565:D565"/>
    <mergeCell ref="C569:D569"/>
    <mergeCell ref="C573:D573"/>
    <mergeCell ref="C546:D546"/>
    <mergeCell ref="C551:D551"/>
    <mergeCell ref="C552:D552"/>
    <mergeCell ref="C553:D553"/>
    <mergeCell ref="C556:D556"/>
    <mergeCell ref="C532:D532"/>
    <mergeCell ref="C535:D535"/>
    <mergeCell ref="C538:D538"/>
    <mergeCell ref="C541:D541"/>
    <mergeCell ref="C543:D543"/>
    <mergeCell ref="C519:D519"/>
    <mergeCell ref="C521:D521"/>
    <mergeCell ref="C524:D524"/>
    <mergeCell ref="C526:D526"/>
    <mergeCell ref="C529:D529"/>
    <mergeCell ref="C507:D507"/>
    <mergeCell ref="C511:D511"/>
    <mergeCell ref="C514:D514"/>
    <mergeCell ref="C515:D515"/>
    <mergeCell ref="C516:D516"/>
    <mergeCell ref="C499:D499"/>
    <mergeCell ref="C500:D500"/>
    <mergeCell ref="C501:D501"/>
    <mergeCell ref="C502:D502"/>
    <mergeCell ref="C503:D503"/>
    <mergeCell ref="C489:D489"/>
    <mergeCell ref="C493:D493"/>
    <mergeCell ref="C496:D496"/>
    <mergeCell ref="C497:D497"/>
    <mergeCell ref="C498:D498"/>
    <mergeCell ref="C482:D482"/>
    <mergeCell ref="C484:D484"/>
    <mergeCell ref="C486:D486"/>
    <mergeCell ref="C487:D487"/>
    <mergeCell ref="C488:D488"/>
    <mergeCell ref="C471:D471"/>
    <mergeCell ref="C474:D474"/>
    <mergeCell ref="C476:D476"/>
    <mergeCell ref="C478:D478"/>
    <mergeCell ref="C480:D480"/>
    <mergeCell ref="C459:D459"/>
    <mergeCell ref="C464:D464"/>
    <mergeCell ref="C467:D467"/>
    <mergeCell ref="C469:D469"/>
    <mergeCell ref="C470:D470"/>
    <mergeCell ref="C448:D448"/>
    <mergeCell ref="C450:D450"/>
    <mergeCell ref="C453:D453"/>
    <mergeCell ref="C454:D454"/>
    <mergeCell ref="C455:D455"/>
    <mergeCell ref="C443:D443"/>
    <mergeCell ref="C444:D444"/>
    <mergeCell ref="C445:D445"/>
    <mergeCell ref="C446:D446"/>
    <mergeCell ref="C447:D447"/>
    <mergeCell ref="C431:D431"/>
    <mergeCell ref="C434:D434"/>
    <mergeCell ref="C435:D435"/>
    <mergeCell ref="C436:D436"/>
    <mergeCell ref="C440:D440"/>
    <mergeCell ref="C419:D419"/>
    <mergeCell ref="C421:D421"/>
    <mergeCell ref="C423:D423"/>
    <mergeCell ref="C425:D425"/>
    <mergeCell ref="C428:D428"/>
    <mergeCell ref="C405:D405"/>
    <mergeCell ref="C408:D408"/>
    <mergeCell ref="C411:D411"/>
    <mergeCell ref="C415:D415"/>
    <mergeCell ref="C418:D418"/>
    <mergeCell ref="C397:D397"/>
    <mergeCell ref="C400:D400"/>
    <mergeCell ref="C402:D402"/>
    <mergeCell ref="C403:D403"/>
    <mergeCell ref="C404:D404"/>
    <mergeCell ref="C385:D385"/>
    <mergeCell ref="C387:D387"/>
    <mergeCell ref="C389:D389"/>
    <mergeCell ref="C391:D391"/>
    <mergeCell ref="C394:D394"/>
    <mergeCell ref="C350:D350"/>
    <mergeCell ref="C353:D353"/>
    <mergeCell ref="C363:D363"/>
    <mergeCell ref="C373:D373"/>
    <mergeCell ref="C384:D384"/>
    <mergeCell ref="C321:D321"/>
    <mergeCell ref="C324:D324"/>
    <mergeCell ref="C336:D336"/>
    <mergeCell ref="C340:D340"/>
    <mergeCell ref="C341:D341"/>
    <mergeCell ref="C312:D312"/>
    <mergeCell ref="C313:D313"/>
    <mergeCell ref="C316:D316"/>
    <mergeCell ref="C317:D317"/>
    <mergeCell ref="C318:D318"/>
    <mergeCell ref="C297:D297"/>
    <mergeCell ref="C301:D301"/>
    <mergeCell ref="C305:D305"/>
    <mergeCell ref="C309:D309"/>
    <mergeCell ref="C310:D310"/>
    <mergeCell ref="C284:D284"/>
    <mergeCell ref="C288:D288"/>
    <mergeCell ref="C292:D292"/>
    <mergeCell ref="C294:D294"/>
    <mergeCell ref="C296:D296"/>
    <mergeCell ref="C266:D266"/>
    <mergeCell ref="C269:D269"/>
    <mergeCell ref="C274:D274"/>
    <mergeCell ref="C276:D276"/>
    <mergeCell ref="C280:D280"/>
    <mergeCell ref="C251:D251"/>
    <mergeCell ref="C252:D252"/>
    <mergeCell ref="C254:D254"/>
    <mergeCell ref="C255:D255"/>
    <mergeCell ref="C262:D262"/>
    <mergeCell ref="C239:D239"/>
    <mergeCell ref="C240:D240"/>
    <mergeCell ref="C244:D244"/>
    <mergeCell ref="C245:D245"/>
    <mergeCell ref="C248:D248"/>
    <mergeCell ref="C207:D207"/>
    <mergeCell ref="C219:D219"/>
    <mergeCell ref="C222:D222"/>
    <mergeCell ref="C234:D234"/>
    <mergeCell ref="C235:D235"/>
    <mergeCell ref="C195:D195"/>
    <mergeCell ref="C196:D196"/>
    <mergeCell ref="C199:D199"/>
    <mergeCell ref="C201:D201"/>
    <mergeCell ref="C204:D204"/>
    <mergeCell ref="C183:D183"/>
    <mergeCell ref="C188:D188"/>
    <mergeCell ref="C190:D190"/>
    <mergeCell ref="C192:D192"/>
    <mergeCell ref="C194:D194"/>
    <mergeCell ref="C167:D167"/>
    <mergeCell ref="C175:D175"/>
    <mergeCell ref="C176:D176"/>
    <mergeCell ref="C177:D177"/>
    <mergeCell ref="C179:D179"/>
    <mergeCell ref="C159:D159"/>
    <mergeCell ref="C162:D162"/>
    <mergeCell ref="C164:D164"/>
    <mergeCell ref="C165:D165"/>
    <mergeCell ref="C166:D166"/>
    <mergeCell ref="C154:D154"/>
    <mergeCell ref="C155:D155"/>
    <mergeCell ref="C156:D156"/>
    <mergeCell ref="C157:D157"/>
    <mergeCell ref="C158:D158"/>
    <mergeCell ref="C144:D144"/>
    <mergeCell ref="C146:D146"/>
    <mergeCell ref="C149:D149"/>
    <mergeCell ref="C150:D150"/>
    <mergeCell ref="C151:D151"/>
    <mergeCell ref="C133:D133"/>
    <mergeCell ref="C136:D136"/>
    <mergeCell ref="C139:D139"/>
    <mergeCell ref="C142:D142"/>
    <mergeCell ref="C143:D143"/>
    <mergeCell ref="C123:D123"/>
    <mergeCell ref="C127:D127"/>
    <mergeCell ref="C128:D128"/>
    <mergeCell ref="C129:D129"/>
    <mergeCell ref="C131:D131"/>
    <mergeCell ref="C117:D117"/>
    <mergeCell ref="C118:D118"/>
    <mergeCell ref="C119:D119"/>
    <mergeCell ref="C120:D120"/>
    <mergeCell ref="C122:D122"/>
    <mergeCell ref="C107:D107"/>
    <mergeCell ref="C109:D109"/>
    <mergeCell ref="C110:D110"/>
    <mergeCell ref="C113:D113"/>
    <mergeCell ref="C115:D115"/>
    <mergeCell ref="C97:D97"/>
    <mergeCell ref="C98:D98"/>
    <mergeCell ref="C99:D99"/>
    <mergeCell ref="C100:D100"/>
    <mergeCell ref="C102:D102"/>
    <mergeCell ref="C88:D88"/>
    <mergeCell ref="C90:D90"/>
    <mergeCell ref="C91:D91"/>
    <mergeCell ref="C92:D92"/>
    <mergeCell ref="C96:D96"/>
    <mergeCell ref="C79:D79"/>
    <mergeCell ref="C80:D80"/>
    <mergeCell ref="C81:D81"/>
    <mergeCell ref="C85:D85"/>
    <mergeCell ref="C86:D86"/>
    <mergeCell ref="C68:D68"/>
    <mergeCell ref="C70:D70"/>
    <mergeCell ref="C71:D71"/>
    <mergeCell ref="C75:D75"/>
    <mergeCell ref="C77:D77"/>
    <mergeCell ref="C54:D54"/>
    <mergeCell ref="C55:D55"/>
    <mergeCell ref="C59:D59"/>
    <mergeCell ref="C63:D63"/>
    <mergeCell ref="C64:D64"/>
    <mergeCell ref="C41:D41"/>
    <mergeCell ref="C44:D44"/>
    <mergeCell ref="C47:D47"/>
    <mergeCell ref="C49:D49"/>
    <mergeCell ref="C50:D50"/>
    <mergeCell ref="C18:D18"/>
    <mergeCell ref="C22:D22"/>
    <mergeCell ref="C26:D26"/>
    <mergeCell ref="C38:D38"/>
    <mergeCell ref="C40:D40"/>
    <mergeCell ref="C11:D11"/>
    <mergeCell ref="H10:J10"/>
    <mergeCell ref="C12:D12"/>
    <mergeCell ref="C13:D13"/>
    <mergeCell ref="C14:D14"/>
    <mergeCell ref="I2:K3"/>
    <mergeCell ref="I4:K5"/>
    <mergeCell ref="I6:K7"/>
    <mergeCell ref="I8:K9"/>
    <mergeCell ref="C10:D10"/>
    <mergeCell ref="C8:D9"/>
    <mergeCell ref="G2:G3"/>
    <mergeCell ref="G4:G5"/>
    <mergeCell ref="G6:G7"/>
    <mergeCell ref="G8:G9"/>
    <mergeCell ref="A1:K1"/>
    <mergeCell ref="A2:B3"/>
    <mergeCell ref="A4:B5"/>
    <mergeCell ref="A6:B7"/>
    <mergeCell ref="A8:B9"/>
    <mergeCell ref="E2:F3"/>
    <mergeCell ref="E4:F5"/>
    <mergeCell ref="E6:F7"/>
    <mergeCell ref="E8:F9"/>
    <mergeCell ref="H2:H3"/>
    <mergeCell ref="H4:H5"/>
    <mergeCell ref="H6:H7"/>
    <mergeCell ref="H8:H9"/>
    <mergeCell ref="C2:D3"/>
    <mergeCell ref="C4:D5"/>
    <mergeCell ref="C6:D7"/>
  </mergeCells>
  <pageMargins left="0.393999993801117" right="0.393999993801117" top="0.59100002050399802" bottom="0.59100002050399802" header="0" footer="0"/>
  <pageSetup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5"/>
  <sheetViews>
    <sheetView workbookViewId="0">
      <selection activeCell="A45" sqref="A45:E45"/>
    </sheetView>
  </sheetViews>
  <sheetFormatPr defaultColWidth="12.109375" defaultRowHeight="15" customHeight="1" x14ac:dyDescent="0.3"/>
  <cols>
    <col min="1" max="1" width="9.109375" customWidth="1"/>
    <col min="2" max="2" width="12.88671875" customWidth="1"/>
    <col min="3" max="3" width="22.88671875" customWidth="1"/>
    <col min="4" max="4" width="10" customWidth="1"/>
    <col min="5" max="5" width="14" customWidth="1"/>
    <col min="6" max="6" width="22.88671875" customWidth="1"/>
    <col min="7" max="7" width="9.109375" customWidth="1"/>
    <col min="8" max="8" width="17.109375" customWidth="1"/>
    <col min="9" max="9" width="22.88671875" customWidth="1"/>
  </cols>
  <sheetData>
    <row r="1" spans="1:9" ht="54.75" customHeight="1" x14ac:dyDescent="0.3">
      <c r="A1" s="79" t="s">
        <v>1265</v>
      </c>
      <c r="B1" s="80"/>
      <c r="C1" s="80"/>
      <c r="D1" s="80"/>
      <c r="E1" s="80"/>
      <c r="F1" s="80"/>
      <c r="G1" s="80"/>
      <c r="H1" s="80"/>
      <c r="I1" s="80"/>
    </row>
    <row r="2" spans="1:9" ht="14.4" x14ac:dyDescent="0.3">
      <c r="A2" s="81" t="s">
        <v>1</v>
      </c>
      <c r="B2" s="82"/>
      <c r="C2" s="91" t="str">
        <f>'Stavební rozpočet'!C2</f>
        <v>"OPRAVA ŘADOVÝCH GARÁŽÍ, Areál technických služeb Kroměříž"</v>
      </c>
      <c r="D2" s="92"/>
      <c r="E2" s="86" t="s">
        <v>5</v>
      </c>
      <c r="F2" s="86" t="str">
        <f>'Stavební rozpočet'!I2</f>
        <v>Kroměřížské technické služby, s.r.o., Kaplanova 29</v>
      </c>
      <c r="G2" s="82"/>
      <c r="H2" s="86" t="s">
        <v>1322</v>
      </c>
      <c r="I2" s="88" t="s">
        <v>1323</v>
      </c>
    </row>
    <row r="3" spans="1:9" ht="25.5" customHeight="1" x14ac:dyDescent="0.3">
      <c r="A3" s="83"/>
      <c r="B3" s="84"/>
      <c r="C3" s="93"/>
      <c r="D3" s="93"/>
      <c r="E3" s="84"/>
      <c r="F3" s="84"/>
      <c r="G3" s="84"/>
      <c r="H3" s="84"/>
      <c r="I3" s="89"/>
    </row>
    <row r="4" spans="1:9" ht="14.4" x14ac:dyDescent="0.3">
      <c r="A4" s="85" t="s">
        <v>7</v>
      </c>
      <c r="B4" s="84"/>
      <c r="C4" s="87" t="str">
        <f>'Stavební rozpočet'!C4</f>
        <v>Garáže</v>
      </c>
      <c r="D4" s="84"/>
      <c r="E4" s="87" t="s">
        <v>11</v>
      </c>
      <c r="F4" s="87" t="str">
        <f>'Stavební rozpočet'!I4</f>
        <v>GARANT projekt s.r.o., Staňkova 103/18, 602 00 Brno</v>
      </c>
      <c r="G4" s="84"/>
      <c r="H4" s="87" t="s">
        <v>1322</v>
      </c>
      <c r="I4" s="89" t="s">
        <v>1324</v>
      </c>
    </row>
    <row r="5" spans="1:9" ht="15" customHeight="1" x14ac:dyDescent="0.3">
      <c r="A5" s="83"/>
      <c r="B5" s="84"/>
      <c r="C5" s="84"/>
      <c r="D5" s="84"/>
      <c r="E5" s="84"/>
      <c r="F5" s="84"/>
      <c r="G5" s="84"/>
      <c r="H5" s="84"/>
      <c r="I5" s="89"/>
    </row>
    <row r="6" spans="1:9" ht="14.4" x14ac:dyDescent="0.3">
      <c r="A6" s="85" t="s">
        <v>12</v>
      </c>
      <c r="B6" s="84"/>
      <c r="C6" s="87" t="str">
        <f>'Stavební rozpočet'!C6</f>
        <v>Kaplanova 2959, 767 01 Kroměříž</v>
      </c>
      <c r="D6" s="84"/>
      <c r="E6" s="87" t="s">
        <v>15</v>
      </c>
      <c r="F6" s="87" t="str">
        <f>'Stavební rozpočet'!I6</f>
        <v>dle výběrového řízení</v>
      </c>
      <c r="G6" s="84"/>
      <c r="H6" s="87" t="s">
        <v>1322</v>
      </c>
      <c r="I6" s="89" t="s">
        <v>51</v>
      </c>
    </row>
    <row r="7" spans="1:9" ht="15" customHeight="1" x14ac:dyDescent="0.3">
      <c r="A7" s="83"/>
      <c r="B7" s="84"/>
      <c r="C7" s="84"/>
      <c r="D7" s="84"/>
      <c r="E7" s="84"/>
      <c r="F7" s="84"/>
      <c r="G7" s="84"/>
      <c r="H7" s="84"/>
      <c r="I7" s="89"/>
    </row>
    <row r="8" spans="1:9" ht="14.4" x14ac:dyDescent="0.3">
      <c r="A8" s="85" t="s">
        <v>9</v>
      </c>
      <c r="B8" s="84"/>
      <c r="C8" s="87" t="str">
        <f>'Stavební rozpočet'!G4</f>
        <v>01.05.2025</v>
      </c>
      <c r="D8" s="84"/>
      <c r="E8" s="87" t="s">
        <v>14</v>
      </c>
      <c r="F8" s="87" t="str">
        <f>'Stavební rozpočet'!G6</f>
        <v xml:space="preserve"> </v>
      </c>
      <c r="G8" s="84"/>
      <c r="H8" s="84" t="s">
        <v>1325</v>
      </c>
      <c r="I8" s="90">
        <v>274</v>
      </c>
    </row>
    <row r="9" spans="1:9" ht="14.4" x14ac:dyDescent="0.3">
      <c r="A9" s="83"/>
      <c r="B9" s="84"/>
      <c r="C9" s="84"/>
      <c r="D9" s="84"/>
      <c r="E9" s="84"/>
      <c r="F9" s="84"/>
      <c r="G9" s="84"/>
      <c r="H9" s="84"/>
      <c r="I9" s="89"/>
    </row>
    <row r="10" spans="1:9" ht="14.4" x14ac:dyDescent="0.3">
      <c r="A10" s="85" t="s">
        <v>17</v>
      </c>
      <c r="B10" s="84"/>
      <c r="C10" s="87" t="str">
        <f>'Stavební rozpočet'!C8</f>
        <v xml:space="preserve"> </v>
      </c>
      <c r="D10" s="84"/>
      <c r="E10" s="87" t="s">
        <v>20</v>
      </c>
      <c r="F10" s="87" t="str">
        <f>'Stavební rozpočet'!I8</f>
        <v>GARANT projekt s.r.o.</v>
      </c>
      <c r="G10" s="84"/>
      <c r="H10" s="84" t="s">
        <v>1326</v>
      </c>
      <c r="I10" s="95" t="str">
        <f>'Stavební rozpočet'!G8</f>
        <v>01.10.2024</v>
      </c>
    </row>
    <row r="11" spans="1:9" ht="14.4" x14ac:dyDescent="0.3">
      <c r="A11" s="100"/>
      <c r="B11" s="94"/>
      <c r="C11" s="94"/>
      <c r="D11" s="94"/>
      <c r="E11" s="94"/>
      <c r="F11" s="94"/>
      <c r="G11" s="94"/>
      <c r="H11" s="94"/>
      <c r="I11" s="96"/>
    </row>
    <row r="13" spans="1:9" ht="15.6" x14ac:dyDescent="0.3">
      <c r="A13" s="149" t="s">
        <v>1367</v>
      </c>
      <c r="B13" s="149"/>
      <c r="C13" s="149"/>
      <c r="D13" s="149"/>
      <c r="E13" s="149"/>
    </row>
    <row r="14" spans="1:9" ht="14.4" x14ac:dyDescent="0.3">
      <c r="A14" s="150" t="s">
        <v>1368</v>
      </c>
      <c r="B14" s="151"/>
      <c r="C14" s="151"/>
      <c r="D14" s="151"/>
      <c r="E14" s="152"/>
      <c r="F14" s="65" t="s">
        <v>1369</v>
      </c>
      <c r="G14" s="65" t="s">
        <v>1370</v>
      </c>
      <c r="H14" s="65" t="s">
        <v>1371</v>
      </c>
      <c r="I14" s="65" t="s">
        <v>1369</v>
      </c>
    </row>
    <row r="15" spans="1:9" ht="14.4" x14ac:dyDescent="0.3">
      <c r="A15" s="153" t="s">
        <v>1336</v>
      </c>
      <c r="B15" s="154"/>
      <c r="C15" s="154"/>
      <c r="D15" s="154"/>
      <c r="E15" s="155"/>
      <c r="F15" s="66">
        <v>0</v>
      </c>
      <c r="G15" s="67" t="s">
        <v>51</v>
      </c>
      <c r="H15" s="67" t="s">
        <v>51</v>
      </c>
      <c r="I15" s="66">
        <f>F15</f>
        <v>0</v>
      </c>
    </row>
    <row r="16" spans="1:9" ht="14.4" x14ac:dyDescent="0.3">
      <c r="A16" s="153" t="s">
        <v>1338</v>
      </c>
      <c r="B16" s="154"/>
      <c r="C16" s="154"/>
      <c r="D16" s="154"/>
      <c r="E16" s="155"/>
      <c r="F16" s="66">
        <v>0</v>
      </c>
      <c r="G16" s="67" t="s">
        <v>51</v>
      </c>
      <c r="H16" s="67" t="s">
        <v>51</v>
      </c>
      <c r="I16" s="66">
        <f>F16</f>
        <v>0</v>
      </c>
    </row>
    <row r="17" spans="1:9" ht="14.4" x14ac:dyDescent="0.3">
      <c r="A17" s="156" t="s">
        <v>1341</v>
      </c>
      <c r="B17" s="157"/>
      <c r="C17" s="157"/>
      <c r="D17" s="157"/>
      <c r="E17" s="158"/>
      <c r="F17" s="68">
        <v>0</v>
      </c>
      <c r="G17" s="69" t="s">
        <v>51</v>
      </c>
      <c r="H17" s="69" t="s">
        <v>51</v>
      </c>
      <c r="I17" s="68">
        <f>F17</f>
        <v>0</v>
      </c>
    </row>
    <row r="18" spans="1:9" ht="14.4" x14ac:dyDescent="0.3">
      <c r="A18" s="159" t="s">
        <v>1372</v>
      </c>
      <c r="B18" s="160"/>
      <c r="C18" s="160"/>
      <c r="D18" s="160"/>
      <c r="E18" s="161"/>
      <c r="F18" s="70" t="s">
        <v>51</v>
      </c>
      <c r="G18" s="71" t="s">
        <v>51</v>
      </c>
      <c r="H18" s="71" t="s">
        <v>51</v>
      </c>
      <c r="I18" s="72">
        <f>SUM(I15:I17)</f>
        <v>0</v>
      </c>
    </row>
    <row r="20" spans="1:9" ht="14.4" x14ac:dyDescent="0.3">
      <c r="A20" s="150" t="s">
        <v>1333</v>
      </c>
      <c r="B20" s="151"/>
      <c r="C20" s="151"/>
      <c r="D20" s="151"/>
      <c r="E20" s="152"/>
      <c r="F20" s="65" t="s">
        <v>1369</v>
      </c>
      <c r="G20" s="65" t="s">
        <v>1370</v>
      </c>
      <c r="H20" s="65" t="s">
        <v>1371</v>
      </c>
      <c r="I20" s="65" t="s">
        <v>1369</v>
      </c>
    </row>
    <row r="21" spans="1:9" ht="14.4" x14ac:dyDescent="0.3">
      <c r="A21" s="153" t="s">
        <v>1337</v>
      </c>
      <c r="B21" s="154"/>
      <c r="C21" s="154"/>
      <c r="D21" s="154"/>
      <c r="E21" s="155"/>
      <c r="F21" s="66">
        <v>0</v>
      </c>
      <c r="G21" s="67" t="s">
        <v>51</v>
      </c>
      <c r="H21" s="67" t="s">
        <v>51</v>
      </c>
      <c r="I21" s="66">
        <f t="shared" ref="I21:I26" si="0">F21</f>
        <v>0</v>
      </c>
    </row>
    <row r="22" spans="1:9" ht="14.4" x14ac:dyDescent="0.3">
      <c r="A22" s="153" t="s">
        <v>1339</v>
      </c>
      <c r="B22" s="154"/>
      <c r="C22" s="154"/>
      <c r="D22" s="154"/>
      <c r="E22" s="155"/>
      <c r="F22" s="66">
        <v>0</v>
      </c>
      <c r="G22" s="67" t="s">
        <v>51</v>
      </c>
      <c r="H22" s="67" t="s">
        <v>51</v>
      </c>
      <c r="I22" s="66">
        <f t="shared" si="0"/>
        <v>0</v>
      </c>
    </row>
    <row r="23" spans="1:9" ht="14.4" x14ac:dyDescent="0.3">
      <c r="A23" s="153" t="s">
        <v>1342</v>
      </c>
      <c r="B23" s="154"/>
      <c r="C23" s="154"/>
      <c r="D23" s="154"/>
      <c r="E23" s="155"/>
      <c r="F23" s="66">
        <v>0</v>
      </c>
      <c r="G23" s="67" t="s">
        <v>51</v>
      </c>
      <c r="H23" s="67" t="s">
        <v>51</v>
      </c>
      <c r="I23" s="66">
        <f t="shared" si="0"/>
        <v>0</v>
      </c>
    </row>
    <row r="24" spans="1:9" ht="14.4" x14ac:dyDescent="0.3">
      <c r="A24" s="153" t="s">
        <v>1343</v>
      </c>
      <c r="B24" s="154"/>
      <c r="C24" s="154"/>
      <c r="D24" s="154"/>
      <c r="E24" s="155"/>
      <c r="F24" s="66">
        <v>0</v>
      </c>
      <c r="G24" s="67" t="s">
        <v>51</v>
      </c>
      <c r="H24" s="67" t="s">
        <v>51</v>
      </c>
      <c r="I24" s="66">
        <f t="shared" si="0"/>
        <v>0</v>
      </c>
    </row>
    <row r="25" spans="1:9" ht="14.4" x14ac:dyDescent="0.3">
      <c r="A25" s="153" t="s">
        <v>272</v>
      </c>
      <c r="B25" s="154"/>
      <c r="C25" s="154"/>
      <c r="D25" s="154"/>
      <c r="E25" s="155"/>
      <c r="F25" s="66">
        <v>0</v>
      </c>
      <c r="G25" s="67" t="s">
        <v>51</v>
      </c>
      <c r="H25" s="67" t="s">
        <v>51</v>
      </c>
      <c r="I25" s="66">
        <f t="shared" si="0"/>
        <v>0</v>
      </c>
    </row>
    <row r="26" spans="1:9" ht="14.4" x14ac:dyDescent="0.3">
      <c r="A26" s="156" t="s">
        <v>1345</v>
      </c>
      <c r="B26" s="157"/>
      <c r="C26" s="157"/>
      <c r="D26" s="157"/>
      <c r="E26" s="158"/>
      <c r="F26" s="68">
        <v>0</v>
      </c>
      <c r="G26" s="69" t="s">
        <v>51</v>
      </c>
      <c r="H26" s="69" t="s">
        <v>51</v>
      </c>
      <c r="I26" s="68">
        <f t="shared" si="0"/>
        <v>0</v>
      </c>
    </row>
    <row r="27" spans="1:9" ht="14.4" x14ac:dyDescent="0.3">
      <c r="A27" s="159" t="s">
        <v>1373</v>
      </c>
      <c r="B27" s="160"/>
      <c r="C27" s="160"/>
      <c r="D27" s="160"/>
      <c r="E27" s="161"/>
      <c r="F27" s="70" t="s">
        <v>51</v>
      </c>
      <c r="G27" s="71" t="s">
        <v>51</v>
      </c>
      <c r="H27" s="71" t="s">
        <v>51</v>
      </c>
      <c r="I27" s="72">
        <f>SUM(I21:I26)</f>
        <v>0</v>
      </c>
    </row>
    <row r="29" spans="1:9" ht="15.6" x14ac:dyDescent="0.3">
      <c r="A29" s="162" t="s">
        <v>1374</v>
      </c>
      <c r="B29" s="163"/>
      <c r="C29" s="163"/>
      <c r="D29" s="163"/>
      <c r="E29" s="164"/>
      <c r="F29" s="165">
        <f>I18+I27</f>
        <v>0</v>
      </c>
      <c r="G29" s="166"/>
      <c r="H29" s="166"/>
      <c r="I29" s="167"/>
    </row>
    <row r="33" spans="1:9" ht="15.6" x14ac:dyDescent="0.3">
      <c r="A33" s="149" t="s">
        <v>1375</v>
      </c>
      <c r="B33" s="149"/>
      <c r="C33" s="149"/>
      <c r="D33" s="149"/>
      <c r="E33" s="149"/>
    </row>
    <row r="34" spans="1:9" ht="14.4" x14ac:dyDescent="0.3">
      <c r="A34" s="150" t="s">
        <v>1376</v>
      </c>
      <c r="B34" s="151"/>
      <c r="C34" s="151"/>
      <c r="D34" s="151"/>
      <c r="E34" s="152"/>
      <c r="F34" s="65" t="s">
        <v>1369</v>
      </c>
      <c r="G34" s="65" t="s">
        <v>1370</v>
      </c>
      <c r="H34" s="65" t="s">
        <v>1371</v>
      </c>
      <c r="I34" s="65" t="s">
        <v>1369</v>
      </c>
    </row>
    <row r="35" spans="1:9" ht="14.4" x14ac:dyDescent="0.3">
      <c r="A35" s="153" t="s">
        <v>1377</v>
      </c>
      <c r="B35" s="154"/>
      <c r="C35" s="154"/>
      <c r="D35" s="154"/>
      <c r="E35" s="155"/>
      <c r="F35" s="66">
        <f>SUM('Stavební rozpočet'!BM12:BM722)</f>
        <v>0</v>
      </c>
      <c r="G35" s="67" t="s">
        <v>51</v>
      </c>
      <c r="H35" s="67" t="s">
        <v>51</v>
      </c>
      <c r="I35" s="66">
        <f t="shared" ref="I35:I44" si="1">F35</f>
        <v>0</v>
      </c>
    </row>
    <row r="36" spans="1:9" ht="14.4" x14ac:dyDescent="0.3">
      <c r="A36" s="153" t="s">
        <v>1378</v>
      </c>
      <c r="B36" s="154"/>
      <c r="C36" s="154"/>
      <c r="D36" s="154"/>
      <c r="E36" s="155"/>
      <c r="F36" s="66">
        <f>SUM('Stavební rozpočet'!BN12:BN722)</f>
        <v>0</v>
      </c>
      <c r="G36" s="67" t="s">
        <v>51</v>
      </c>
      <c r="H36" s="67" t="s">
        <v>51</v>
      </c>
      <c r="I36" s="66">
        <f t="shared" si="1"/>
        <v>0</v>
      </c>
    </row>
    <row r="37" spans="1:9" ht="14.4" x14ac:dyDescent="0.3">
      <c r="A37" s="153" t="s">
        <v>1337</v>
      </c>
      <c r="B37" s="154"/>
      <c r="C37" s="154"/>
      <c r="D37" s="154"/>
      <c r="E37" s="155"/>
      <c r="F37" s="66">
        <f>SUM('Stavební rozpočet'!BO12:BO722)</f>
        <v>0</v>
      </c>
      <c r="G37" s="67" t="s">
        <v>51</v>
      </c>
      <c r="H37" s="67" t="s">
        <v>51</v>
      </c>
      <c r="I37" s="66">
        <f t="shared" si="1"/>
        <v>0</v>
      </c>
    </row>
    <row r="38" spans="1:9" ht="14.4" x14ac:dyDescent="0.3">
      <c r="A38" s="153" t="s">
        <v>1379</v>
      </c>
      <c r="B38" s="154"/>
      <c r="C38" s="154"/>
      <c r="D38" s="154"/>
      <c r="E38" s="155"/>
      <c r="F38" s="66">
        <f>SUM('Stavební rozpočet'!BP12:BP722)</f>
        <v>0</v>
      </c>
      <c r="G38" s="67" t="s">
        <v>51</v>
      </c>
      <c r="H38" s="67" t="s">
        <v>51</v>
      </c>
      <c r="I38" s="66">
        <f t="shared" si="1"/>
        <v>0</v>
      </c>
    </row>
    <row r="39" spans="1:9" ht="14.4" x14ac:dyDescent="0.3">
      <c r="A39" s="153" t="s">
        <v>1380</v>
      </c>
      <c r="B39" s="154"/>
      <c r="C39" s="154"/>
      <c r="D39" s="154"/>
      <c r="E39" s="155"/>
      <c r="F39" s="66">
        <f>SUM('Stavební rozpočet'!BQ12:BQ722)</f>
        <v>0</v>
      </c>
      <c r="G39" s="67" t="s">
        <v>51</v>
      </c>
      <c r="H39" s="67" t="s">
        <v>51</v>
      </c>
      <c r="I39" s="66">
        <f t="shared" si="1"/>
        <v>0</v>
      </c>
    </row>
    <row r="40" spans="1:9" ht="14.4" x14ac:dyDescent="0.3">
      <c r="A40" s="153" t="s">
        <v>1342</v>
      </c>
      <c r="B40" s="154"/>
      <c r="C40" s="154"/>
      <c r="D40" s="154"/>
      <c r="E40" s="155"/>
      <c r="F40" s="66">
        <f>SUM('Stavební rozpočet'!BR12:BR722)</f>
        <v>0</v>
      </c>
      <c r="G40" s="67" t="s">
        <v>51</v>
      </c>
      <c r="H40" s="67" t="s">
        <v>51</v>
      </c>
      <c r="I40" s="66">
        <f t="shared" si="1"/>
        <v>0</v>
      </c>
    </row>
    <row r="41" spans="1:9" ht="14.4" x14ac:dyDescent="0.3">
      <c r="A41" s="153" t="s">
        <v>1343</v>
      </c>
      <c r="B41" s="154"/>
      <c r="C41" s="154"/>
      <c r="D41" s="154"/>
      <c r="E41" s="155"/>
      <c r="F41" s="66">
        <f>SUM('Stavební rozpočet'!BS12:BS722)</f>
        <v>0</v>
      </c>
      <c r="G41" s="67" t="s">
        <v>51</v>
      </c>
      <c r="H41" s="67" t="s">
        <v>51</v>
      </c>
      <c r="I41" s="66">
        <f t="shared" si="1"/>
        <v>0</v>
      </c>
    </row>
    <row r="42" spans="1:9" ht="14.4" x14ac:dyDescent="0.3">
      <c r="A42" s="153" t="s">
        <v>1381</v>
      </c>
      <c r="B42" s="154"/>
      <c r="C42" s="154"/>
      <c r="D42" s="154"/>
      <c r="E42" s="155"/>
      <c r="F42" s="66">
        <f>SUM('Stavební rozpočet'!BT12:BT722)</f>
        <v>0</v>
      </c>
      <c r="G42" s="67" t="s">
        <v>51</v>
      </c>
      <c r="H42" s="67" t="s">
        <v>51</v>
      </c>
      <c r="I42" s="66">
        <f t="shared" si="1"/>
        <v>0</v>
      </c>
    </row>
    <row r="43" spans="1:9" ht="14.4" x14ac:dyDescent="0.3">
      <c r="A43" s="153" t="s">
        <v>1382</v>
      </c>
      <c r="B43" s="154"/>
      <c r="C43" s="154"/>
      <c r="D43" s="154"/>
      <c r="E43" s="155"/>
      <c r="F43" s="66">
        <f>SUM('Stavební rozpočet'!BU12:BU722)</f>
        <v>0</v>
      </c>
      <c r="G43" s="67" t="s">
        <v>51</v>
      </c>
      <c r="H43" s="67" t="s">
        <v>51</v>
      </c>
      <c r="I43" s="66">
        <f t="shared" si="1"/>
        <v>0</v>
      </c>
    </row>
    <row r="44" spans="1:9" ht="14.4" x14ac:dyDescent="0.3">
      <c r="A44" s="156" t="s">
        <v>1383</v>
      </c>
      <c r="B44" s="157"/>
      <c r="C44" s="157"/>
      <c r="D44" s="157"/>
      <c r="E44" s="158"/>
      <c r="F44" s="68">
        <f>SUM('Stavební rozpočet'!BV12:BV722)</f>
        <v>0</v>
      </c>
      <c r="G44" s="69" t="s">
        <v>51</v>
      </c>
      <c r="H44" s="69" t="s">
        <v>51</v>
      </c>
      <c r="I44" s="68">
        <f t="shared" si="1"/>
        <v>0</v>
      </c>
    </row>
    <row r="45" spans="1:9" ht="14.4" x14ac:dyDescent="0.3">
      <c r="A45" s="159" t="s">
        <v>1384</v>
      </c>
      <c r="B45" s="160"/>
      <c r="C45" s="160"/>
      <c r="D45" s="160"/>
      <c r="E45" s="161"/>
      <c r="F45" s="70" t="s">
        <v>51</v>
      </c>
      <c r="G45" s="71" t="s">
        <v>51</v>
      </c>
      <c r="H45" s="71" t="s">
        <v>51</v>
      </c>
      <c r="I45" s="72">
        <f>SUM(I35:I44)</f>
        <v>0</v>
      </c>
    </row>
  </sheetData>
  <mergeCells count="60">
    <mergeCell ref="A41:E41"/>
    <mergeCell ref="A42:E42"/>
    <mergeCell ref="A43:E43"/>
    <mergeCell ref="A44:E44"/>
    <mergeCell ref="A45:E45"/>
    <mergeCell ref="A36:E36"/>
    <mergeCell ref="A37:E37"/>
    <mergeCell ref="A38:E38"/>
    <mergeCell ref="A39:E39"/>
    <mergeCell ref="A40:E40"/>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Krycí list rozpočtu</vt:lpstr>
      <vt:lpstr>Stavební rozpočet - součet</vt:lpstr>
      <vt:lpstr>Stavební rozpočet</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Stanislav Smolík</cp:lastModifiedBy>
  <cp:lastPrinted>2024-12-05T07:31:06Z</cp:lastPrinted>
  <dcterms:created xsi:type="dcterms:W3CDTF">2021-06-10T20:06:38Z</dcterms:created>
  <dcterms:modified xsi:type="dcterms:W3CDTF">2024-12-05T07:32:51Z</dcterms:modified>
</cp:coreProperties>
</file>