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242" windowHeight="10460" activeTab="0"/>
  </bookViews>
  <sheets>
    <sheet name="Krycí list rozpočtu" sheetId="1" r:id="rId1"/>
    <sheet name="Stavební rozpočet - součet" sheetId="2" r:id="rId2"/>
    <sheet name="Stavební rozpočet" sheetId="3" r:id="rId3"/>
    <sheet name="Rekapitulace" sheetId="4" r:id="rId4"/>
    <sheet name="Rozpočet" sheetId="5" r:id="rId5"/>
  </sheets>
  <definedNames>
    <definedName name="_xlnm.Print_Area" localSheetId="3">'Rekapitulace'!$A$1:$E$56</definedName>
    <definedName name="_xlnm.Print_Area" localSheetId="4">'Rozpočet'!$B$1:$J$108</definedName>
  </definedNames>
  <calcPr fullCalcOnLoad="1"/>
</workbook>
</file>

<file path=xl/sharedStrings.xml><?xml version="1.0" encoding="utf-8"?>
<sst xmlns="http://schemas.openxmlformats.org/spreadsheetml/2006/main" count="2395" uniqueCount="892">
  <si>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</si>
  <si>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</si>
  <si>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</si>
  <si>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</si>
  <si>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</si>
  <si>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</si>
  <si>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</si>
  <si>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</si>
  <si>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</si>
  <si>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</si>
  <si>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</si>
  <si>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</si>
  <si>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</si>
  <si>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</si>
  <si>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</si>
  <si>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</si>
  <si>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</si>
  <si>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</si>
  <si>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</si>
  <si>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</si>
  <si>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</si>
  <si>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</si>
  <si>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</si>
  <si>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</si>
  <si>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</si>
  <si>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</si>
  <si>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</si>
  <si>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</si>
  <si>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</si>
  <si>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</si>
  <si>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</si>
  <si>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</si>
  <si>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</si>
  <si>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</si>
  <si>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</si>
  <si>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</si>
  <si>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</si>
  <si>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</si>
  <si>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</si>
  <si>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</si>
  <si>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</si>
  <si>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</si>
  <si>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</si>
  <si>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</si>
  <si>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</si>
  <si>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</si>
  <si>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</si>
  <si>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</si>
  <si>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</si>
  <si>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</si>
  <si>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</si>
  <si>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</si>
  <si>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</si>
  <si>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</si>
  <si>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</si>
  <si>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</si>
  <si>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</si>
  <si>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</si>
  <si>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</si>
  <si>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</si>
  <si>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</si>
  <si>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</si>
  <si>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</si>
  <si>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</si>
  <si>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</si>
  <si>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</si>
  <si>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</si>
  <si>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</si>
  <si>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</si>
  <si>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</si>
  <si>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</si>
  <si>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</si>
  <si>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</si>
  <si>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</si>
  <si>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</si>
  <si>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</si>
  <si>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</si>
  <si>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</si>
  <si>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</si>
  <si>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</si>
  <si>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</si>
  <si>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</si>
  <si>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</si>
  <si>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</si>
  <si>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</si>
  <si>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</si>
  <si>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</si>
  <si>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</si>
  <si>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</si>
  <si>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</si>
  <si>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</si>
  <si>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</si>
  <si>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</si>
  <si>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</si>
  <si>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</si>
  <si>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</si>
  <si>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</si>
  <si>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</si>
  <si>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</si>
  <si>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</si>
  <si>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</si>
  <si>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</si>
  <si>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</si>
  <si>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</si>
  <si>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</si>
  <si>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</si>
  <si>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</si>
  <si>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</si>
  <si>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</si>
  <si>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</si>
  <si>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</si>
  <si>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</si>
  <si>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</si>
  <si>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</si>
  <si>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</si>
  <si>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</si>
  <si>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</si>
  <si>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</si>
  <si>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</si>
  <si>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</si>
  <si>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</si>
  <si>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</si>
  <si>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</si>
  <si>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</si>
  <si>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</si>
  <si>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</si>
  <si>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</si>
  <si>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</si>
  <si>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</si>
  <si>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</si>
  <si>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</si>
  <si>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</si>
  <si>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</si>
  <si>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</si>
  <si>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</si>
  <si>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</si>
  <si>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</si>
  <si>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</si>
  <si>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</si>
  <si>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</si>
  <si>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</si>
  <si>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</si>
  <si>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Poznámka:</t>
  </si>
  <si>
    <t>Jestliže se v stavebním rozpočtu objevují odkazy na obchodní názvy, firmy, specifická označení výrobků, materiálů, technologických postupů či celků a dodávek, které platí pro určitého dodavatele, společnost nebo jeho organizační složku, patenty na vynálezy, užitné vzory, průmyslové vzory, ochranné známky nebo označení původu, vlivem toho, že zadavatel nebyl schopen jinak specifikovat onu vymezenou část předmětu díla s použitím daných specifikací tak, aby byly dostatečně přesné a srozumitelné všem dodavatelům, jedná se o doporučená řešení (vymezení předpokládaného standardu) a v těchto případech zadavatel umožňuje uchazečům ve svých nabídkách použití i jiných, kvalitativně a technicky obdobných řešení ve srovnatelné cenové úrovni pořízení či nákladů provozu nebo pro zadavatele výhodnější.
Na tuto skutečnost musí uchazeč upozornit a prokázat, že jím navržené materiály nebo výrobky jsou v požadovaných vlastnostech srovnatelné nebo lepší předepsané technické a kvalitativní úrovně.
V cenové nabídce lze uvažovat materiál / výrobek ROVNOCENÝ dle technických parametrů. V případě nahrazení materiálů / výrobků materiálem / výrobkem ROVNOCENÝM musí být doloženo, že materiál  / výrobek ROVNOCENÝ splňuje veškeré požadované parametry a technické vlastnosti dle materiálu / výrobku uvažovaného ve výpočtech a projektové dokumentaci. Při splnění technických vlastností a parametrů ROVNOCENÉHO materiálu / výrobku zadavatel výslovně umožní nabídnutí rovnocenného řešení u každého takového materiálu / výrobku.
Rozpočet slouží výhradně a pouze pro výběr zhotovitele. Množství v položkách je předpokládané a řídí se vyhláškou č. 169/2016 Sb. 
Zhotovitel je povinen zkontrolovat rozpočet a je zhotovitel povinen upozornit zadavatele na případné nedostatky. Ceny v nabídce musí vycházet nejen z předloženého soupisu výkonů, ale i ze znalosti celého projektu. Prostudování kompletní dokumentace je nutnou podmínkou předložení nabídky. Veškeré konstrukce se dodávají jako plně funkční celek, pokud není uvedeno jinak.
JEDNOTLIVÉ VÝMĚRY BYLY ODMĚŘENY ELEKTRONICKY Z KOORDINAČNÍCH VÝKRESŮ A DOPLŇKOVÝCH ŘEZŮ. PŘÍPADNÉ UPŘESNĚNÍ JE UVEDENO V TEXTOVÝCH ČÁSTECH A POZNÁMKÁCH UVEDENÝCH NA KONKRÉTNÍCH VÝKRESECH.
V rozpočtu uvedené typy materiálů představují minimální standard z hlediska parametrů a kvality použitých výrobků a materiálů. V projektu uvedené typy svítidel slouží pro vypracování světelne technického návrhu, který je nezbytnou součástí projektové dokumentace.
V žádném případě se nejedná o materiály a výrobky, které musí dodavatel při realizaci díla použít. 
Skutečně dodané typy materiálů a výrobků však musí minimálně splňovat technické parametry materíálů a výrobků uvedených v projektové dokumentaci, nesmí být horší kvality a musí být odsouhlaseny investorem stavby. V případě použití jiných svítidel bude dodavatelem stavby vypracován nový světelně technický návrh osvětlení</t>
  </si>
  <si>
    <t>Objekt</t>
  </si>
  <si>
    <t>SO 101</t>
  </si>
  <si>
    <t>Kód</t>
  </si>
  <si>
    <t>000VD</t>
  </si>
  <si>
    <t>VO</t>
  </si>
  <si>
    <t>111301111R00</t>
  </si>
  <si>
    <t>113202111R00</t>
  </si>
  <si>
    <t>979024441R00</t>
  </si>
  <si>
    <t>965200012RA0</t>
  </si>
  <si>
    <t>979087113R00</t>
  </si>
  <si>
    <t>113151113R00</t>
  </si>
  <si>
    <t>113108442R00</t>
  </si>
  <si>
    <t>979087112R00</t>
  </si>
  <si>
    <t>979081111R00</t>
  </si>
  <si>
    <t>979081121R00</t>
  </si>
  <si>
    <t>979990112R00</t>
  </si>
  <si>
    <t>979990103R00</t>
  </si>
  <si>
    <t>997221855/00IMVD</t>
  </si>
  <si>
    <t>112100104RA0</t>
  </si>
  <si>
    <t>979990161R00</t>
  </si>
  <si>
    <t>121101101R00</t>
  </si>
  <si>
    <t>167103101R00</t>
  </si>
  <si>
    <t>122202202R00</t>
  </si>
  <si>
    <t>122202209R00</t>
  </si>
  <si>
    <t>120001101R00</t>
  </si>
  <si>
    <t>139601102R00</t>
  </si>
  <si>
    <t>132201119R00</t>
  </si>
  <si>
    <t>132201211R00</t>
  </si>
  <si>
    <t>132201219R00</t>
  </si>
  <si>
    <t>167101102R00</t>
  </si>
  <si>
    <t>162301102R00</t>
  </si>
  <si>
    <t>162701109R00</t>
  </si>
  <si>
    <t>162306112R00</t>
  </si>
  <si>
    <t>162706119R00</t>
  </si>
  <si>
    <t>171151101R00</t>
  </si>
  <si>
    <t>175101101R00</t>
  </si>
  <si>
    <t>58330000.A</t>
  </si>
  <si>
    <t>171101104R00</t>
  </si>
  <si>
    <t>50058331201VD</t>
  </si>
  <si>
    <t>174101101R00</t>
  </si>
  <si>
    <t>58344169</t>
  </si>
  <si>
    <t>181101111R00</t>
  </si>
  <si>
    <t>182001111R00</t>
  </si>
  <si>
    <t>181300012RAB</t>
  </si>
  <si>
    <t>182300010RAB</t>
  </si>
  <si>
    <t>180501111R00</t>
  </si>
  <si>
    <t>185804312R00</t>
  </si>
  <si>
    <t>180400120RA0</t>
  </si>
  <si>
    <t>185804215R00</t>
  </si>
  <si>
    <t>180501112R00</t>
  </si>
  <si>
    <t>185804235R00</t>
  </si>
  <si>
    <t>199000001R00</t>
  </si>
  <si>
    <t>199000002R00</t>
  </si>
  <si>
    <t>212752113R00</t>
  </si>
  <si>
    <t>213151121R00</t>
  </si>
  <si>
    <t>69366198</t>
  </si>
  <si>
    <t>212312111R00</t>
  </si>
  <si>
    <t>274310030TC</t>
  </si>
  <si>
    <t>317321118R00</t>
  </si>
  <si>
    <t>317351105R00</t>
  </si>
  <si>
    <t>317351106R00</t>
  </si>
  <si>
    <t>451571111R00</t>
  </si>
  <si>
    <t>466</t>
  </si>
  <si>
    <t>466921IM</t>
  </si>
  <si>
    <t>564851111R00</t>
  </si>
  <si>
    <t>564871111R00</t>
  </si>
  <si>
    <t>564861111R00</t>
  </si>
  <si>
    <t>567122111R00</t>
  </si>
  <si>
    <t>565141211R00</t>
  </si>
  <si>
    <t>573111113R00</t>
  </si>
  <si>
    <t>573211111R00</t>
  </si>
  <si>
    <t>577131111R00</t>
  </si>
  <si>
    <t>599141111R00</t>
  </si>
  <si>
    <t>596215040R00</t>
  </si>
  <si>
    <t>592451170</t>
  </si>
  <si>
    <t>596291113R00</t>
  </si>
  <si>
    <t>592451158</t>
  </si>
  <si>
    <t>591241111R00</t>
  </si>
  <si>
    <t>58380120.A</t>
  </si>
  <si>
    <t>597121151R00</t>
  </si>
  <si>
    <t>ŽLAB II 7/10 cm</t>
  </si>
  <si>
    <t>589315410</t>
  </si>
  <si>
    <t>60725017</t>
  </si>
  <si>
    <t>711</t>
  </si>
  <si>
    <t>711140026RAA</t>
  </si>
  <si>
    <t>767</t>
  </si>
  <si>
    <t>767900040RA0</t>
  </si>
  <si>
    <t>894812217/00IMVD</t>
  </si>
  <si>
    <t>894812231/00IMVD</t>
  </si>
  <si>
    <t>894812241/00IMVD</t>
  </si>
  <si>
    <t>894812249/00IMVD</t>
  </si>
  <si>
    <t>894812262/00IMVD</t>
  </si>
  <si>
    <t>871313121R00</t>
  </si>
  <si>
    <t>28611260.A</t>
  </si>
  <si>
    <t>899431111R00</t>
  </si>
  <si>
    <t>899432111R00</t>
  </si>
  <si>
    <t>894411020TC</t>
  </si>
  <si>
    <t>899231111R00</t>
  </si>
  <si>
    <t>899232111R00</t>
  </si>
  <si>
    <t>899</t>
  </si>
  <si>
    <t>899432111/00IMVD</t>
  </si>
  <si>
    <t>899431111/00IMVD</t>
  </si>
  <si>
    <t>909      R00</t>
  </si>
  <si>
    <t>900100002RAA</t>
  </si>
  <si>
    <t>915721111R00</t>
  </si>
  <si>
    <t>915729111R00</t>
  </si>
  <si>
    <t>915791112R00</t>
  </si>
  <si>
    <t>919735111R00</t>
  </si>
  <si>
    <t>919735112R00</t>
  </si>
  <si>
    <t>919731121R00</t>
  </si>
  <si>
    <t>917461111R00</t>
  </si>
  <si>
    <t>58380373</t>
  </si>
  <si>
    <t>917862111R00</t>
  </si>
  <si>
    <t>592174230</t>
  </si>
  <si>
    <t>59217488</t>
  </si>
  <si>
    <t>919794441R00</t>
  </si>
  <si>
    <t>914</t>
  </si>
  <si>
    <t>914001111R00</t>
  </si>
  <si>
    <t>404459509</t>
  </si>
  <si>
    <t>914001125R00</t>
  </si>
  <si>
    <t>40445343</t>
  </si>
  <si>
    <t>918</t>
  </si>
  <si>
    <t>918383IMVD</t>
  </si>
  <si>
    <t>919</t>
  </si>
  <si>
    <t>919112213/00IMVD</t>
  </si>
  <si>
    <t>935112111žlabII</t>
  </si>
  <si>
    <t>Žlab II</t>
  </si>
  <si>
    <t>966</t>
  </si>
  <si>
    <t>96687IM</t>
  </si>
  <si>
    <t>985324221/00IMVD</t>
  </si>
  <si>
    <t>998</t>
  </si>
  <si>
    <t>998223011R00</t>
  </si>
  <si>
    <t>999SL</t>
  </si>
  <si>
    <t>NN ČEZ</t>
  </si>
  <si>
    <t>999VD</t>
  </si>
  <si>
    <t>999_E,defVD</t>
  </si>
  <si>
    <t>999_Zař. stav.VD</t>
  </si>
  <si>
    <t>999_DSPS</t>
  </si>
  <si>
    <t>999_RDSVD</t>
  </si>
  <si>
    <t>999_DIOVD</t>
  </si>
  <si>
    <t>999_BOZP</t>
  </si>
  <si>
    <t>999_ING</t>
  </si>
  <si>
    <t>999_Provoz</t>
  </si>
  <si>
    <t>999_Doklady</t>
  </si>
  <si>
    <t>M23</t>
  </si>
  <si>
    <t>230191016R00</t>
  </si>
  <si>
    <t>286138307</t>
  </si>
  <si>
    <t>M46</t>
  </si>
  <si>
    <t>460650016R00</t>
  </si>
  <si>
    <t>Park Všestarka – přístupový chodník a úprava komunikace</t>
  </si>
  <si>
    <t>Chodník, parkoviště</t>
  </si>
  <si>
    <t>Zkrácený popis / Varianta</t>
  </si>
  <si>
    <t>Rozměry</t>
  </si>
  <si>
    <t>Zpevněné plochy</t>
  </si>
  <si>
    <t>Vedlejší a ostatní náklady stavby</t>
  </si>
  <si>
    <t>Veřejné osvětlení viz samostatný díl rozpočtu</t>
  </si>
  <si>
    <t>Přípravné a přidružené práce</t>
  </si>
  <si>
    <t>Sejmutí drnu tl. do 10 cm, s přemístěním do 50 m</t>
  </si>
  <si>
    <t>611</t>
  </si>
  <si>
    <t>Vytrhání obrub z krajníků nebo obrubníků stojatých</t>
  </si>
  <si>
    <t>1,7   odstranění silničních obrubníků</t>
  </si>
  <si>
    <t>(SKL-KAMENÍ)</t>
  </si>
  <si>
    <t>Očištění vybour. obrubníků všech loží a výplní</t>
  </si>
  <si>
    <t>+1,7+++</t>
  </si>
  <si>
    <t>Bourání mazanin betonových a asfaltových</t>
  </si>
  <si>
    <t>ODVOZ NA SKLÁDKU - BETON</t>
  </si>
  <si>
    <t xml:space="preserve"> *  +0,2   Bourání betonů</t>
  </si>
  <si>
    <t>Nakládání vybouraných hmot na dopravní prostředky</t>
  </si>
  <si>
    <t>0,44 + 0,25 +    BETON + KAMENÍ + ASFALT</t>
  </si>
  <si>
    <t>Fréz.živič.krytu pl.do 500 m2,pruh do 75 cm,tl.4cm</t>
  </si>
  <si>
    <t>ODVOZ NA SKLÁDKU - ASFALT</t>
  </si>
  <si>
    <t>153   frézování živice</t>
  </si>
  <si>
    <t>Rozrytí krytu,kamenivo bez zhut.,se živič. pojivem</t>
  </si>
  <si>
    <t>153+++   frézování živice</t>
  </si>
  <si>
    <t xml:space="preserve">   Asfalt - bouraný</t>
  </si>
  <si>
    <t>Nakládání suti na dopravní prostředky</t>
  </si>
  <si>
    <t xml:space="preserve"> +  + (13,46+0,11)   BETON + KAMENÍ + ASFALT</t>
  </si>
  <si>
    <t>Odvoz suti a vybour. hmot na skládku do 1 km</t>
  </si>
  <si>
    <t>1,5 *  + 5   stromy a pařezy</t>
  </si>
  <si>
    <t>0,44 + 0,25 +    HMOTY : BETON + KAMENÍ + ASFALT</t>
  </si>
  <si>
    <t xml:space="preserve"> +  + (13,46+0,11)   SUT : BETON + KAMENÍ + ASFALT</t>
  </si>
  <si>
    <t>Příplatek k odvozu za každý další 1 km</t>
  </si>
  <si>
    <t>(10-1) * (1 * 0,15 +  * 0,1)   UV a SDZ</t>
  </si>
  <si>
    <t>(10-1) * (1,5 *  + 5)   stromy a pařezy</t>
  </si>
  <si>
    <t>(10-1) * (0,44 + 0,25 + )   HMOTY : BETON + KAMENÍ + ASFALT</t>
  </si>
  <si>
    <t>(10-1) * ( +  + (13,46+0,11))   SUT : BETON + KAMENÍ + ASFALT</t>
  </si>
  <si>
    <t>Poplatek za skládku suti - obalované kam. - asfalt</t>
  </si>
  <si>
    <t xml:space="preserve"> + (13,46+0,11)   ASFALT</t>
  </si>
  <si>
    <t>Poplatek za skládku suti - beton</t>
  </si>
  <si>
    <t>0,44 +  + (10-1) * (1 * 0,15 +  * 0,1)   BETON</t>
  </si>
  <si>
    <t>Poplatek za skládku - kamení</t>
  </si>
  <si>
    <t>0,25 +    KAMENÍ</t>
  </si>
  <si>
    <t>Odstranění pařezů,odklizení,úprava terénu</t>
  </si>
  <si>
    <t xml:space="preserve"> + 5</t>
  </si>
  <si>
    <t>Poplatek za skládku suti - dřevo</t>
  </si>
  <si>
    <t>1,5 * + 5   Pařezy a stromy - odhad</t>
  </si>
  <si>
    <t>1,2   frézování živice</t>
  </si>
  <si>
    <t>Odkopávky a prokopávky</t>
  </si>
  <si>
    <t>Sejmutí ornice s přemístěním do 50 m</t>
  </si>
  <si>
    <t>0,20 * 611</t>
  </si>
  <si>
    <t>Nakládání výkopku zeminy schopné zúrodnění</t>
  </si>
  <si>
    <t>0,20 * ( 34 + 31 )</t>
  </si>
  <si>
    <t>Odkopávky pro silnice v hor. 3 do 1000 m3</t>
  </si>
  <si>
    <t>0,3 *466,5   sanace</t>
  </si>
  <si>
    <t>87,4   rostlý terén</t>
  </si>
  <si>
    <t>Příplatek za lepivost - odkop. pro silnice v hor.3</t>
  </si>
  <si>
    <t>0,3 * 0,3 *466,5   sanace</t>
  </si>
  <si>
    <t>0,3 * 87,4   rostlý terén</t>
  </si>
  <si>
    <t>Příplatek za ztížení vykopávky v blízkosti vedení</t>
  </si>
  <si>
    <t>0,3 *(  + 3,5 * 0,25 + 3 * 0,25 + 29 + 5)   výkopy</t>
  </si>
  <si>
    <t>0,3 * (87,4)   výkopy</t>
  </si>
  <si>
    <t>Hloubené vykopávky</t>
  </si>
  <si>
    <t>Ruční výkop jam, rýh a šachet v hornině tř. 3</t>
  </si>
  <si>
    <t xml:space="preserve">   Výkop rýhy pod obrubníky</t>
  </si>
  <si>
    <t>0,2 * 3,5 * 0,25 + 3 * 0,25 + 29   Výkopy pro kanalizaci</t>
  </si>
  <si>
    <t>5   sondy pro zajištění polohy sítí</t>
  </si>
  <si>
    <t>Příplatek za lepivost - hloubení rýh 60 cm v hor.3</t>
  </si>
  <si>
    <t>0,3 *(  +  3,5 * 0,25 + 3 * 0,25 + 29 + 5)   rýha pod obrubníky</t>
  </si>
  <si>
    <t>Hloubení rýh š.do 200 cm hor.3 do 100 m3,STROJNĚ</t>
  </si>
  <si>
    <t>0,8 * 3,5 * 0,25 + 3 * 0,25 + 29   Výkopy pro kanalizaci</t>
  </si>
  <si>
    <t>Příplatek za lepivost - hloubení rýh 200cm v hor.3</t>
  </si>
  <si>
    <t>0,3 * 0,8 * 3,5 * 0,25 + 3 * 0,25 + 29   Výkopy pro kanalizaci</t>
  </si>
  <si>
    <t>Přemístění výkopku</t>
  </si>
  <si>
    <t>Nakládání výkopku z hor.1-4 v množství nad 100 m3</t>
  </si>
  <si>
    <t>Vodorovné přemístění výkopku z hor.1-4 do 1000 m</t>
  </si>
  <si>
    <t>-  -   Využitá zemina</t>
  </si>
  <si>
    <t>Příplatek k vod. přemístění hor.1-4 za další 1 km</t>
  </si>
  <si>
    <t>( 10 - 1 ) *(-  -)</t>
  </si>
  <si>
    <t>( 10 - 1 ) * (-  -)   Využitá zemina</t>
  </si>
  <si>
    <t>( 10 - 1 ) * (0,3 *466,5)   sanace</t>
  </si>
  <si>
    <t>( 10 - 1 ) * (87,4)   rostlý terén</t>
  </si>
  <si>
    <t>( 10 - 1 ) * ()   Výkop rýhy pod obrubníky</t>
  </si>
  <si>
    <t>( 10 - 1 ) * ( 0,2 * 3,5 * 0,25 + 3 * 0,25 + 29 )   Výkopy pro kanalizaci</t>
  </si>
  <si>
    <t>( 10 - 1 ) * (5)   sondy pro zajištění polohy sítí</t>
  </si>
  <si>
    <t>( 10 - 1 ) * (0,8 * 3,5 * 0,25 + 3 * 0,25 + 29)   Výkopy pro kanalizaci</t>
  </si>
  <si>
    <t>Vodorovné přemístění zemin pro zúrodnění do 1000 m</t>
  </si>
  <si>
    <t>0,20 * 611 - (0,20 * (34 + 31))   Odvoz přebytečné ornice</t>
  </si>
  <si>
    <t>Příplatek za dalších 1000 m přemístění zemin</t>
  </si>
  <si>
    <t>(10 -1)*(0,20*611-(0,20*(34+31)))   Odvoz přebytečné ornice</t>
  </si>
  <si>
    <t>Konstrukce ze zemin</t>
  </si>
  <si>
    <t>Hutnění boků násypů</t>
  </si>
  <si>
    <t>(22,3 + 15 + ) / 0,2</t>
  </si>
  <si>
    <t>Obsyp potrubí bez prohození sypaniny</t>
  </si>
  <si>
    <t>3,5 * 0,25 + 3 * 0,25</t>
  </si>
  <si>
    <t>Písek kopaný tříděný 0-4mm</t>
  </si>
  <si>
    <t>1,01 * 3,5 * 0,25 + 3 * 0,25 * 1,8</t>
  </si>
  <si>
    <t>Uložení sypaniny do násypů zhutněných na 102% PS</t>
  </si>
  <si>
    <t>22,3 + 15</t>
  </si>
  <si>
    <t>Štěrk s příměsí jemné zeminy G3 G-F (zásyp vhodnou zeminou)</t>
  </si>
  <si>
    <t>22,3 + 15 * 1,8   Násyp z vhodné zeminy</t>
  </si>
  <si>
    <t>Zásyp jam, rýh, šachet se zhutněním</t>
  </si>
  <si>
    <t>25,25</t>
  </si>
  <si>
    <t>Štěrkodrtě frakce 0-32 A</t>
  </si>
  <si>
    <t>25,25 * 1,8</t>
  </si>
  <si>
    <t>Povrchové úpravy terénu</t>
  </si>
  <si>
    <t>Úprava pláně se zhutněním - ručně</t>
  </si>
  <si>
    <t>466,5 + 489,8 - 466,5 + 7,2   Zhutnění pláně</t>
  </si>
  <si>
    <t>466,5 + 489,8 - 466,5 + 7,2   pod sanaci</t>
  </si>
  <si>
    <t>Plošná úprava terénu, nerovnosti do 10 cm v rovině</t>
  </si>
  <si>
    <t>1,05 * (466,5 + 489,8 - 466,5 + 7,2)</t>
  </si>
  <si>
    <t>Rozprostření ornice v rovině tloušťka 20 cm</t>
  </si>
  <si>
    <t>dovoz ornice ze vzdálenosti 1 km, osetí trávou</t>
  </si>
  <si>
    <t>34   Ornice</t>
  </si>
  <si>
    <t>Rozprostření ornice ve svahu tloušťka 15 cm</t>
  </si>
  <si>
    <t>dovoz ornice ze vzdálenosti 1km, osetí trávou</t>
  </si>
  <si>
    <t>31   Ornice</t>
  </si>
  <si>
    <t>Zpevnění ploch drnováním plošným v rovině</t>
  </si>
  <si>
    <t>Zalití rostlin vodou plochy nad 20 m2</t>
  </si>
  <si>
    <t>(34 + 31) * 0,25</t>
  </si>
  <si>
    <t>Založení trávníku parkového s odplevelením</t>
  </si>
  <si>
    <t>34 + 31</t>
  </si>
  <si>
    <t>Vypletí trávníku po výsevu v rovině</t>
  </si>
  <si>
    <t>Zpevnění ploch drnováním plošným na svahu 1:2</t>
  </si>
  <si>
    <t>Vypletí trávníku po výsevu na svahu 1:2</t>
  </si>
  <si>
    <t>Hloubení pro podzemní stěny, ražení a hloubení důlní</t>
  </si>
  <si>
    <t>Poplatek za skládku - ornice</t>
  </si>
  <si>
    <t>0,20 * 611 - (0,20 * (34+31))   Odvoz přebytečné ornice</t>
  </si>
  <si>
    <t>(SKL-ORNICE)</t>
  </si>
  <si>
    <t>Poplatek za skládku horniny 1- 4</t>
  </si>
  <si>
    <t>Úprava podloží a základové spáry</t>
  </si>
  <si>
    <t>Trativody z drenážních trubek, lože, DN 160 mm</t>
  </si>
  <si>
    <t>Montáž geotextílie</t>
  </si>
  <si>
    <t xml:space="preserve"> +222,2   geotextilie</t>
  </si>
  <si>
    <t xml:space="preserve">   Separační tkaná geotextilie 60 kN/m</t>
  </si>
  <si>
    <t xml:space="preserve">   Sorpční geotextilie REOFb, 400 g/m2</t>
  </si>
  <si>
    <t>Geotextilie</t>
  </si>
  <si>
    <t>1,20 * ( + 222,2)   separační textilie</t>
  </si>
  <si>
    <t>Lože trativodu z betonu prostého</t>
  </si>
  <si>
    <t>1,4</t>
  </si>
  <si>
    <t>Základy</t>
  </si>
  <si>
    <t>Základový pas z betonu C 20/25 XF1, XA1, vč. bednění</t>
  </si>
  <si>
    <t>štěrkopískový podklad</t>
  </si>
  <si>
    <t>2,7</t>
  </si>
  <si>
    <t>Zdi podpěrné a volné</t>
  </si>
  <si>
    <t>Římsy ze železového betonu C 30/37</t>
  </si>
  <si>
    <t>0,7 + 5,1 ; čela a římsy</t>
  </si>
  <si>
    <t>Bednění říms - zřízení</t>
  </si>
  <si>
    <t>V položce jsou zakalkulovány i náklady na podpěrnou konstrukci do výšky 6 m nad nejblíže nižší podlahou a náklady na pomocné lešení o výšce podlahy do 1,90 m a pro zatížení do 1,5 kPa.</t>
  </si>
  <si>
    <t>2*(4+2*0,5)*1</t>
  </si>
  <si>
    <t>Bednění říms - odstranění</t>
  </si>
  <si>
    <t>Podkladní a vedlejší konstrukce (kromě vozovek a železničního svršku)</t>
  </si>
  <si>
    <t>Lože dlažby ze štěrkopísků tl. do 10 cm</t>
  </si>
  <si>
    <t>zpevnění vegetační</t>
  </si>
  <si>
    <t>DLAŽBY VEGETAČNÍ Z BETONOVÝCH DLAŽDIC NA SUCHO</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</si>
  <si>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t>
  </si>
  <si>
    <t>Podkladní vrstvy komunikací a zpevněných ploch</t>
  </si>
  <si>
    <t>Podklad ze štěrkodrti po zhutnění tloušťky 15 cm</t>
  </si>
  <si>
    <t>5 / 0,15</t>
  </si>
  <si>
    <t>2 * 466,5   Mechanická sanace pláně</t>
  </si>
  <si>
    <t>Podklad ze štěrkodrti po zhutnění tloušťky 25 cm</t>
  </si>
  <si>
    <t>Podklad ze štěrkodrti po zhutnění tloušťky 20 cm</t>
  </si>
  <si>
    <t>4,5 + 146 + 277</t>
  </si>
  <si>
    <t>Podklad z kameniva zpev.cementem KZC 1 tl.12 cm</t>
  </si>
  <si>
    <t>146</t>
  </si>
  <si>
    <t>Podklad z obal kam.ACP 16+,ACP 22+,nad 3 m,tl.6 cm</t>
  </si>
  <si>
    <t>Kryty štěrkových a živičných pozemních komunikací a zpevněných ploch</t>
  </si>
  <si>
    <t>Postřik živičný infiltr.+ posyp, asfalt 1,5 kg/m2</t>
  </si>
  <si>
    <t>146 +</t>
  </si>
  <si>
    <t xml:space="preserve"> +</t>
  </si>
  <si>
    <t>Postřik živičný spojovací z asfaltu 0,5-0,7 kg/m2</t>
  </si>
  <si>
    <t>153 + 146 + + + +   Vozovka</t>
  </si>
  <si>
    <t>Beton asfalt. ACO 11+ obrusný, š. do 3 m, tl. 4 cm</t>
  </si>
  <si>
    <t>153 + 146   Vozovka - oprava</t>
  </si>
  <si>
    <t>Dlažby a předlažby pozemních komunikací a zpevněných ploch</t>
  </si>
  <si>
    <t>Vyplnění spár mezi panely živičnou zálivkou</t>
  </si>
  <si>
    <t>4,9</t>
  </si>
  <si>
    <t>Kladení zámkové dlažby tl. 8 cm do drtě tl. 4 cm</t>
  </si>
  <si>
    <t>277 +  +    Přírodní</t>
  </si>
  <si>
    <t xml:space="preserve">   Červená</t>
  </si>
  <si>
    <t>4,5 +    Červená - SLEPECKÁ</t>
  </si>
  <si>
    <t xml:space="preserve">   Písková</t>
  </si>
  <si>
    <t>Dlažba skladebná vibrolisovaná tl. 8 cm - přírodní</t>
  </si>
  <si>
    <t>1,04 * 277   Přírodní</t>
  </si>
  <si>
    <t>Řezání zámkové dlažby tl. 80 mm</t>
  </si>
  <si>
    <t>ODHAD</t>
  </si>
  <si>
    <t>0,05 * ( 277 + 4,5 +++)+   odhad pro dořezy betonových dlaždic 5%</t>
  </si>
  <si>
    <t>0,05 * (+ +  )</t>
  </si>
  <si>
    <t>Dlažba SLP skladba 20x10x8 cm červená</t>
  </si>
  <si>
    <t>1,04 * 4,5   Červená - SLEPECKÁ</t>
  </si>
  <si>
    <t>Kladení dlažby drobné kostky, lože z MC tl. 5 cm</t>
  </si>
  <si>
    <t>(dvoulinka) do betonu C20/25 XF3</t>
  </si>
  <si>
    <t>0,65   žulová kostka - dvoulinka</t>
  </si>
  <si>
    <t>Kostka dlažební drobná 8/10 tř. 1  1t = 5 m2</t>
  </si>
  <si>
    <t>1,05 * ( 0,65 -   )</t>
  </si>
  <si>
    <t>Montáž odvodňovacích štěrbinových trub - vpusť</t>
  </si>
  <si>
    <t>LITINOVÁ MŘÍŽ pro ŽLAB II 7/10 cm</t>
  </si>
  <si>
    <t>Beton C 30/37 (CZ  F.2), XF3, frakce do 22 mm</t>
  </si>
  <si>
    <t>0,93 * 0,44 * 0,37 * 3</t>
  </si>
  <si>
    <t>-0,75 * 0,21 * 0,28 * 3</t>
  </si>
  <si>
    <t>Deska dřevoštěpková OSB 3 N tl. 25 mm</t>
  </si>
  <si>
    <t>3 * 0,93 * (2 * 0,44 + 2 * 0,37)</t>
  </si>
  <si>
    <t>3 * 0,75 * (2 * 0,21 + 2 * 0,28)</t>
  </si>
  <si>
    <t>Izolace proti vodě</t>
  </si>
  <si>
    <t>Izolace proti vodě vodorovná přitavená, 2x</t>
  </si>
  <si>
    <t>2x ALP, 2x modifikovaný Elastodek 50 SP,1x Na</t>
  </si>
  <si>
    <t>42,1</t>
  </si>
  <si>
    <t>Konstrukce doplňkové stavební (zámečnické)</t>
  </si>
  <si>
    <t>Demontáž oplocení z pletiva</t>
  </si>
  <si>
    <t>7,5</t>
  </si>
  <si>
    <t>Potrubí z trub plastických, skleněných a čedičových</t>
  </si>
  <si>
    <t>Revizní a čistící šachta z PP šachtové dno DN 425/200</t>
  </si>
  <si>
    <t>Revizní a čistící šachta z PP DN 425 šachtová roura korugovaná bez hrdla světlé hloubky 1500 mm</t>
  </si>
  <si>
    <t>Revizní a čistící šachta z PP DN 425 šachtová roura teleskopická světlé hloubky 375 mm</t>
  </si>
  <si>
    <t>Příplatek k rourám revizní a čistící šachty z PP DN 425 za uříznutí šachtové roury</t>
  </si>
  <si>
    <t>Revizní a čistící šachta z PP DN 425 poklop litinový plný do teleskopické trubky (40 t)</t>
  </si>
  <si>
    <t>Montáž trub z plastu, gumový kroužek, DN 150</t>
  </si>
  <si>
    <t>Trubka kanalizační KGEM SN 8 PVC 160x4,7x1000</t>
  </si>
  <si>
    <t>1,03 * 3</t>
  </si>
  <si>
    <t>Trubní vedení</t>
  </si>
  <si>
    <t>Výšková úprava do 20 cm, zvýšení krytu šoupěte</t>
  </si>
  <si>
    <t>2 /2</t>
  </si>
  <si>
    <t>Výšková úprava do 20 cm, snížení krytu šoupěte</t>
  </si>
  <si>
    <t>2 / 2</t>
  </si>
  <si>
    <t>Vpusť uliční z dílců DN 450,s kal.košem,s výtokem</t>
  </si>
  <si>
    <t>mříž litina 500x500 40 t, hl. 1,64 m</t>
  </si>
  <si>
    <t>V položce je zakalkulováno: zřízení uliční vpusti betonových dílců ze spodního dílu s odtokem, středové a horní skruže, přechodového dílu, vyrovnávacího prstence a osazení vtokové mříže s kalovým košem.  Měrnou jednotkou je kus. Výška celé uliční vpusti je 1,6 m.</t>
  </si>
  <si>
    <t>Výšková úprava vstupu do 20 cm, zvýšení mříže</t>
  </si>
  <si>
    <t>3 /2</t>
  </si>
  <si>
    <t>Výšková úprava vstupu do 20 cm, snížení mříže</t>
  </si>
  <si>
    <t>3 / 2</t>
  </si>
  <si>
    <t>Doplňky trub. vedení</t>
  </si>
  <si>
    <t>Výšková úprava uličního vstupu nebo vpusti do 200 mm snížením krycího hrnce, šoupěte nebo hydrantu</t>
  </si>
  <si>
    <t>1 / 2</t>
  </si>
  <si>
    <t>Výšková úprava uličního vstupu nebo vpusti do 200 mm zvýšením krycího hrnce, šoupěte nebo hydrantu</t>
  </si>
  <si>
    <t>Hodinové zúčtovací sazby (HZS)</t>
  </si>
  <si>
    <t>Hzs-nezmeritelne stavebni prace</t>
  </si>
  <si>
    <t>REZERVA - PO ODSOUHLASENÍ VE STAVEBNÍM DENÍKU</t>
  </si>
  <si>
    <t>466,5 / 50   rozsah prací bude před provedením potvrzen ve stavebním deníku</t>
  </si>
  <si>
    <t xml:space="preserve"> * 3   Napojení VO</t>
  </si>
  <si>
    <t>Oplocení z poplastovaného pletiva, ocelové sloupky</t>
  </si>
  <si>
    <t>vrata, vrátka, ostnatý drát, výška 2 m</t>
  </si>
  <si>
    <t>134 * 0,01</t>
  </si>
  <si>
    <t>Hloubení šachet pro osazení sloupků, s naložením na dopravní prostředek a odvozem výkopku do 20 m, se složením, bez rozhrnutí, v hornině 3, dodávka a osazení sloupků a vzpěr plotových ocelových trubkových výšky 255 cm typových, se zabetonováním do 0,05 m3 betonem C 25/30, dodávka a montáž pletiva se čtvercovými oky 50,0 x 2,24 x 2,0 mm, ostnatého drátu čtyřšpičkového 2,24 mm, do výšky 2 m, vrátek 100 x 205 cm ocelových se sloupky.</t>
  </si>
  <si>
    <t>Doplňující konstrukce a práce na pozemních komunikacích a zpevněných plochách</t>
  </si>
  <si>
    <t>Vodorovné značení střík.barvou stopčar,zeber atd.</t>
  </si>
  <si>
    <t>2,1</t>
  </si>
  <si>
    <t>Příplatek za reflexní úpravu stopčar, zeber atd.</t>
  </si>
  <si>
    <t>2,1+</t>
  </si>
  <si>
    <t>Předznačení pro značení stopčáry, zebry, nápisů</t>
  </si>
  <si>
    <t>2,1 +</t>
  </si>
  <si>
    <t>Řezání stávajícího živičného krytu tl. do 5 cm</t>
  </si>
  <si>
    <t>Řezání stávajícího živičného krytu tl. 5 - 10 cm</t>
  </si>
  <si>
    <t>Zarovnání styčné plochy živičné tl. do 5 cm</t>
  </si>
  <si>
    <t>Osaz. stoj. obrub. kam. s opěrou,</t>
  </si>
  <si>
    <t>do lože z betonu C20/25-XF3 (popř. C20/25 n XF3)</t>
  </si>
  <si>
    <t xml:space="preserve"> +  + 1,7   kamenný obrubník OP#</t>
  </si>
  <si>
    <t>Obrubník kamenný přímý OP6 15x25 cm</t>
  </si>
  <si>
    <t>1,05 * 1,7   kamenný obrubník OP6</t>
  </si>
  <si>
    <t>Osazení stojatího obrubníku betonového s opěrou (betonového silničního nebo chodníkového obrubníku)</t>
  </si>
  <si>
    <t>1,5 +    Odměřeno elektronicky Silniční</t>
  </si>
  <si>
    <t xml:space="preserve">   Odměřeno elektronicky Nájezdový</t>
  </si>
  <si>
    <t xml:space="preserve">   Odměřeno elektronicky Přechodový</t>
  </si>
  <si>
    <t>321 + 27 + 2 *    Odměřeno elektronicky Chodníkový</t>
  </si>
  <si>
    <t>Obrubník chodníkový 1000 / 80 / 250</t>
  </si>
  <si>
    <t>1,05 * (321 + 27 +2 * )   Chodníkový</t>
  </si>
  <si>
    <t>Obrubník silniční 1000/150/250</t>
  </si>
  <si>
    <t>1,05 * 1,5   Silniční 250mm</t>
  </si>
  <si>
    <t>Úprava ploch kolem hydrantů v živ.krytech do 2 m2</t>
  </si>
  <si>
    <t>1+3++2 +</t>
  </si>
  <si>
    <t>SDZ</t>
  </si>
  <si>
    <t>Osazení sloupků dopr.značky vč. beton. základu, dodávka a osazení víčka ke sloupku.</t>
  </si>
  <si>
    <t>1   nový</t>
  </si>
  <si>
    <t>Sloupek Fe pr.70 pozinkovaný, l= 3500 mm</t>
  </si>
  <si>
    <t>Osazení svislé dopr.značky na sloupek nebo konzolu</t>
  </si>
  <si>
    <t xml:space="preserve">   A10 ; A11; A12a</t>
  </si>
  <si>
    <t xml:space="preserve">   B1 - B34</t>
  </si>
  <si>
    <t xml:space="preserve">   C1 - C14b</t>
  </si>
  <si>
    <t xml:space="preserve"> + + +    E2b ; E7b ; E8d ; E13</t>
  </si>
  <si>
    <t xml:space="preserve"> + +   P2 ; P4 ; P6</t>
  </si>
  <si>
    <t xml:space="preserve"> +  +    IJ4b ; IP26a ; IP26b</t>
  </si>
  <si>
    <t>+1   IP1 až IP13</t>
  </si>
  <si>
    <t>Značka dopr.informat.IP8a-IP13d</t>
  </si>
  <si>
    <t>podezdívka pod chodníkové obruby</t>
  </si>
  <si>
    <t>PROPUSTY Z TRUB DN DO 1400MM</t>
  </si>
  <si>
    <t>2,5</t>
  </si>
  <si>
    <t>Spára</t>
  </si>
  <si>
    <t>Řezání spár pro vytvoření komůrky š 10 mm hl 25 mm pro těsnící zálivku v živičném krytu</t>
  </si>
  <si>
    <t>Různé dokončovací konstrukce a práce inženýrských staveb</t>
  </si>
  <si>
    <t>Osazení přík.žlabu do C20/25 XF3 tl.10cm z tvárnic betonových</t>
  </si>
  <si>
    <t>Betonový žlab 210 x 280 x 100 (dílka 0,28m)</t>
  </si>
  <si>
    <t>1,05 * 97  / 0,28</t>
  </si>
  <si>
    <t>Ostatních stavebních konstrukcí</t>
  </si>
  <si>
    <t>VYBOURÁNÍ ULIČNÍCH VPUSTÍ KOMPLETNÍCH</t>
  </si>
  <si>
    <t>ODVOZ NA SKLÁDKU</t>
  </si>
  <si>
    <t>Demolice</t>
  </si>
  <si>
    <t>Ochranný akrylátový nátěr betonu dvojnásobný se stěrkou (OS-C)</t>
  </si>
  <si>
    <t>3,9</t>
  </si>
  <si>
    <t>Přesun hmot HSV</t>
  </si>
  <si>
    <t>Přesun hmot, pozemní komunikace, kryt dlážděný</t>
  </si>
  <si>
    <t>1060,72 -</t>
  </si>
  <si>
    <t>- (1,5 * )   stromy a pařezy</t>
  </si>
  <si>
    <t>- (0,44 + 0,25 + )   HMOTY : BETON + KAMENÍ + ASFALT</t>
  </si>
  <si>
    <t>- ( +  + (13,46+0,11))   SUT : BETON + KAMENÍ + ASFALT</t>
  </si>
  <si>
    <t>Přeložky a přemístění sítí</t>
  </si>
  <si>
    <t>Vynucená překládka rozvaděče ČEZ Distribuce (stranový posun)</t>
  </si>
  <si>
    <t>1   stranový posun</t>
  </si>
  <si>
    <t xml:space="preserve">1) Ze stávajícího pilíře budou odpojeny dva kabely, které se v zemi propojí pomocí spojky.
2) Stávající zděný pilíř bude bez náhrady zrušen.
Objednání přeložky distribučního kabelu ČEZ provede Obec Všestary před stavbou chodníku.
</t>
  </si>
  <si>
    <t>Ostatní položky</t>
  </si>
  <si>
    <t>Hutnící geotechnické zkoušky včetně protokolu</t>
  </si>
  <si>
    <t>Zařízení staveniště, montáž, pronájem a demontáž staveniště</t>
  </si>
  <si>
    <t>Dokumentace skutečného provedení stavby</t>
  </si>
  <si>
    <t>1   Kompletní vypracování DSPS včetně odevzdání tištěné a digitální verze v počtu dle SoD</t>
  </si>
  <si>
    <t>Realizační dokumentace stavby</t>
  </si>
  <si>
    <t>1   Realizační a dílenská dokumentace vypracovaná zhotovitelem včetně technologických postupů</t>
  </si>
  <si>
    <t>Vypracování a projednání DIO pro provedení stavby</t>
  </si>
  <si>
    <t>Náklady na zajištění BOZP na pracovišti</t>
  </si>
  <si>
    <t>Inženýrská činnost</t>
  </si>
  <si>
    <t>Provozní vlivy</t>
  </si>
  <si>
    <t>Vyhotovení dokladů potřebných pro předání díla</t>
  </si>
  <si>
    <t>revize, zkoušky, zaškolení a další práce, služby, dodávky a režijní náklady</t>
  </si>
  <si>
    <t>Montáže potrubí</t>
  </si>
  <si>
    <t>Uložení chráničky ve výkopu PE 110x4,2mm</t>
  </si>
  <si>
    <t>3,5</t>
  </si>
  <si>
    <t>Chránička půlená z HDPE DN 100 dl. 5m</t>
  </si>
  <si>
    <t>1,05 * 3,5</t>
  </si>
  <si>
    <t>Zemní práce při montážích</t>
  </si>
  <si>
    <t>Podkladová vrstva z betonu</t>
  </si>
  <si>
    <t>Doba výstavby:</t>
  </si>
  <si>
    <t>Začátek výstavby:</t>
  </si>
  <si>
    <t>Konec výstavby:</t>
  </si>
  <si>
    <t>Zpracováno dne:</t>
  </si>
  <si>
    <t>M.j.</t>
  </si>
  <si>
    <t>kpl.</t>
  </si>
  <si>
    <t>m2</t>
  </si>
  <si>
    <t>m</t>
  </si>
  <si>
    <t>m3</t>
  </si>
  <si>
    <t>t</t>
  </si>
  <si>
    <t>kus</t>
  </si>
  <si>
    <t>M2</t>
  </si>
  <si>
    <t>h</t>
  </si>
  <si>
    <t>100 m</t>
  </si>
  <si>
    <t>M</t>
  </si>
  <si>
    <t>KUS</t>
  </si>
  <si>
    <t>soub.</t>
  </si>
  <si>
    <t>kpl</t>
  </si>
  <si>
    <t>Množství</t>
  </si>
  <si>
    <t>05.02.2018</t>
  </si>
  <si>
    <t>Jednot.</t>
  </si>
  <si>
    <t>cena (Kč)</t>
  </si>
  <si>
    <t>Náklady (Kč)</t>
  </si>
  <si>
    <t>Dodávka</t>
  </si>
  <si>
    <t>Celkem:</t>
  </si>
  <si>
    <t>Objednatel:</t>
  </si>
  <si>
    <t>Projektant:</t>
  </si>
  <si>
    <t>Zhotovitel:</t>
  </si>
  <si>
    <t>Zpracoval:</t>
  </si>
  <si>
    <t>Montáž</t>
  </si>
  <si>
    <t>Obec Všestary</t>
  </si>
  <si>
    <t>Kamil Hronovský</t>
  </si>
  <si>
    <t>Na základě výběrového řízení</t>
  </si>
  <si>
    <t>Ing. Theodor Collino</t>
  </si>
  <si>
    <t>Celkem</t>
  </si>
  <si>
    <t>Hmotnost (t)</t>
  </si>
  <si>
    <t>Cenová</t>
  </si>
  <si>
    <t>soustava</t>
  </si>
  <si>
    <t>R-položka</t>
  </si>
  <si>
    <t>RTS II / 2017</t>
  </si>
  <si>
    <t>R</t>
  </si>
  <si>
    <t>RTS I / 2017</t>
  </si>
  <si>
    <t>R-materiál</t>
  </si>
  <si>
    <t>ASPE</t>
  </si>
  <si>
    <t>Přesuny</t>
  </si>
  <si>
    <t>Typ skupiny</t>
  </si>
  <si>
    <t>HSV mat</t>
  </si>
  <si>
    <t>HSV prac</t>
  </si>
  <si>
    <t>PSV mat</t>
  </si>
  <si>
    <t>PSV prac</t>
  </si>
  <si>
    <t>Mont mat</t>
  </si>
  <si>
    <t>Mont prac</t>
  </si>
  <si>
    <t>Ostatní mat.</t>
  </si>
  <si>
    <t>000VD_</t>
  </si>
  <si>
    <t>11_</t>
  </si>
  <si>
    <t>12_</t>
  </si>
  <si>
    <t>13_</t>
  </si>
  <si>
    <t>16_</t>
  </si>
  <si>
    <t>17_</t>
  </si>
  <si>
    <t>18_</t>
  </si>
  <si>
    <t>19_</t>
  </si>
  <si>
    <t>21_</t>
  </si>
  <si>
    <t>27_</t>
  </si>
  <si>
    <t>31_</t>
  </si>
  <si>
    <t>45_</t>
  </si>
  <si>
    <t>466_</t>
  </si>
  <si>
    <t>56_</t>
  </si>
  <si>
    <t>57_</t>
  </si>
  <si>
    <t>59_</t>
  </si>
  <si>
    <t>711_</t>
  </si>
  <si>
    <t>767_</t>
  </si>
  <si>
    <t>87_</t>
  </si>
  <si>
    <t>89_</t>
  </si>
  <si>
    <t>899_</t>
  </si>
  <si>
    <t>90_</t>
  </si>
  <si>
    <t>91_</t>
  </si>
  <si>
    <t>914_</t>
  </si>
  <si>
    <t>918_</t>
  </si>
  <si>
    <t>919_</t>
  </si>
  <si>
    <t>93_</t>
  </si>
  <si>
    <t>966_</t>
  </si>
  <si>
    <t>98_</t>
  </si>
  <si>
    <t>998_</t>
  </si>
  <si>
    <t>999SL_</t>
  </si>
  <si>
    <t>999VD_</t>
  </si>
  <si>
    <t>M23_</t>
  </si>
  <si>
    <t>M46_</t>
  </si>
  <si>
    <t>SO 101_0_</t>
  </si>
  <si>
    <t>SO 101_1_</t>
  </si>
  <si>
    <t>SO 101_2_</t>
  </si>
  <si>
    <t>SO 101_3_</t>
  </si>
  <si>
    <t>SO 101_4_</t>
  </si>
  <si>
    <t>SO 101_5_</t>
  </si>
  <si>
    <t>SO 101_71_</t>
  </si>
  <si>
    <t>SO 101_76_</t>
  </si>
  <si>
    <t>SO 101_8_</t>
  </si>
  <si>
    <t>SO 101_9_</t>
  </si>
  <si>
    <t>SO 101_</t>
  </si>
  <si>
    <t>100216</t>
  </si>
  <si>
    <t>100113</t>
  </si>
  <si>
    <t>100114</t>
  </si>
  <si>
    <t>100116</t>
  </si>
  <si>
    <t>100213</t>
  </si>
  <si>
    <t>Slepý stavební rozpočet - rekapitulace</t>
  </si>
  <si>
    <t>Zkrácený popis</t>
  </si>
  <si>
    <t>Náklady (Kč) - dodávka</t>
  </si>
  <si>
    <t>Náklady (Kč) - Montáž</t>
  </si>
  <si>
    <t>Náklady (Kč) - celkem</t>
  </si>
  <si>
    <t>Celková hmotnost (t)</t>
  </si>
  <si>
    <t>F</t>
  </si>
  <si>
    <t>T</t>
  </si>
  <si>
    <t>Rozpočtové náklady v Kč</t>
  </si>
  <si>
    <t>A</t>
  </si>
  <si>
    <t>HSV</t>
  </si>
  <si>
    <t>PSV</t>
  </si>
  <si>
    <t>"M"</t>
  </si>
  <si>
    <t>Ostatní materiál</t>
  </si>
  <si>
    <t>Přesun hmot a sutí</t>
  </si>
  <si>
    <t>ZRN celkem</t>
  </si>
  <si>
    <t>Základ 0%</t>
  </si>
  <si>
    <t>Základ 15%</t>
  </si>
  <si>
    <t>Základ 21%</t>
  </si>
  <si>
    <t>Projektant</t>
  </si>
  <si>
    <t>Datum, razítko a podpis</t>
  </si>
  <si>
    <t xml:space="preserve">Jestliže se v stavebním rozpočtu objevují odkazy na obchodní názvy, firmy, specifická označení výrobků, materiálů, technologických postupů či celků a dodávek, které platí pro určitého dodavatele, společnost nebo jeho organizační složku, patenty na vynálezy, užitné vzory, průmyslové vzory, ochranné známky nebo označení původu, vlivem toho, že zadavatel nebyl schopen jinak specifikovat onu vymezenou část předmětu díla s použitím daných specifikací tak, aby byly dostatečně přesné a srozumitelné všem dodavatelům, jedná se o doporučená řešení (vymezení předpokládaného standardu) a v těchto případech zadavatel umožňuje uchazečům ve svých nabídkách použití i jiných, kvalitativně a technicky obdobných řešení ve srovnatelné cenové úrovni pořízení či nákladů provozu nebo pro zadavatele výhodnější.
Na tuto skutečnost musí uchazeč upozornit a prokázat, že jím navržené materiály nebo výrobky jsou v požadovaných vlastnostech srovnatelné nebo lepší předepsané technické a kvalitativní úrovně.
V cenové nabídce lze uvažovat materiál / výrobek ROVNOCENÝ dle technických parametrů. V případě nahrazení materiálů / výrobků materiálem / výrobkem ROVNOCENÝM musí být doloženo, že materiál  / výrobek ROVNOCENÝ splňuje veškeré požadované parametry a technické vlastnosti dle materiálu / výrobku uvažovaného ve výpočtech a projektové dokumentaci. Při splnění technických vlastností a parametrů ROVNOCENÉHO materiálu / výrobku zadavatel výslovně umožní nabídnutí rovnocenného řešení u každého takového materiálu / výrobku.
Rozpočet slouží výhradně a pouze pro výběr zhotovitele. Množství v položkách je předpokládané a řídí se vyhláškou č. 169/2016 Sb. 
Zhotovitel je povinen zkontrolovat rozpočet a je zhotovitel povinen upozornit zadavatele na případné nedostatky. Ceny v nabídce musí vycházet nejen z předloženého soupisu výkonů, ale i ze znalosti celého projektu. Prostudování kompletní dokumentace je nutnou podmínkou předložení nabídky. Veškeré konstrukce se dodávají jako plně funkční celek, pokud není uvedeno jinak.
JEDNOTLIVÉ VÝMĚRY BYLY ODMĚŘENY ELEKTRONICKY Z KOORDINAČNÍCH VÝKRESŮ A DOPLŇKOVÝCH ŘEZŮ. PŘÍPADNÉ UPŘESNĚNÍ JE UVEDENO V TEXTOVÝCH ČÁSTECH A POZNÁMKÁCH UVEDENÝCH NA KONKRÉTNÍCH VÝKRESECH.
V rozpočtu uvedené typy materiálů představují minimální standard z hlediska parametrů a kvality použitých výrobků a materiálů. V projektu uvedené typy svítidel slouží pro vypracování světelne technického návrhu, který je nezbytnou součástí projektové dokumentace.
V žádném případě se nejedná o materiály a výrobky, které musí dodavatel při realizaci díla použít. 
Skutečně dodané typy materiálů a výrobků však musí minimálně splňovat technické parametry materíálů a výrobků uvedených v projektové dokumentaci, nesmí být horší kvality a musí být odsouhlaseny investorem stavby. V případě použití jiných svítidel bude dodavatelem stavby vypracován nový světelně technický návrh osvětlení </t>
  </si>
  <si>
    <t>Základní rozpočtové náklady</t>
  </si>
  <si>
    <t>Dodávky</t>
  </si>
  <si>
    <t>Krycí list slepého rozpočtu</t>
  </si>
  <si>
    <t>B</t>
  </si>
  <si>
    <t>Práce přesčas</t>
  </si>
  <si>
    <t>Bez pevné podl.</t>
  </si>
  <si>
    <t>Kulturní památka</t>
  </si>
  <si>
    <t>Vliv umístění stavby</t>
  </si>
  <si>
    <t>DN celkem</t>
  </si>
  <si>
    <t>DN celkem z obj.</t>
  </si>
  <si>
    <t>DPH 15%</t>
  </si>
  <si>
    <t>DPH 21%</t>
  </si>
  <si>
    <t>Objednatel</t>
  </si>
  <si>
    <t>Doplňkové náklady</t>
  </si>
  <si>
    <t>C</t>
  </si>
  <si>
    <t>Zařízení staveniště</t>
  </si>
  <si>
    <t>Mimostav. doprava</t>
  </si>
  <si>
    <t>Územní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</si>
  <si>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</si>
  <si>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</si>
  <si>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</si>
  <si>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</si>
  <si>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</si>
  <si>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</si>
  <si>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</si>
  <si>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</si>
  <si>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</si>
  <si>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</si>
  <si>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</si>
  <si>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</si>
  <si>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</si>
  <si>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68459327/CZ7607313065</t>
  </si>
  <si>
    <t>Náklady celkem</t>
  </si>
  <si>
    <t/>
  </si>
  <si>
    <t>Kompletační činnost</t>
  </si>
  <si>
    <t>Vedlejší náklady celkem</t>
  </si>
  <si>
    <t>Provozní vlivy 0,00% z pravé strany mezisoučtu 2</t>
  </si>
  <si>
    <t>GZS 3,25% z pravé strany mezisoučtu 2</t>
  </si>
  <si>
    <t>Vedlejší náklady</t>
  </si>
  <si>
    <t>Základní náklady celkem</t>
  </si>
  <si>
    <t>Opravy v záruce 0,00% z mezisoučtu 1</t>
  </si>
  <si>
    <t>Rizika a pojištění 0,00% z mezisoučtu 2</t>
  </si>
  <si>
    <t>Dodav. dokumentace 0,00% z mezisoučtu 2</t>
  </si>
  <si>
    <t>Mezisoučet 2</t>
  </si>
  <si>
    <t>PPV 1,00% z nátěrů a zemních prací</t>
  </si>
  <si>
    <t>Zemní práce</t>
  </si>
  <si>
    <t>Nátěry</t>
  </si>
  <si>
    <t>PPV 3,00% z montáže: materiál + práce</t>
  </si>
  <si>
    <t>Mezisoučet 1</t>
  </si>
  <si>
    <t>Montáž - práce</t>
  </si>
  <si>
    <t>Montáž - materiál</t>
  </si>
  <si>
    <t>Doprava 3,60%, Přesun 1,00%</t>
  </si>
  <si>
    <t>Základní náklady</t>
  </si>
  <si>
    <t>Hodnota B</t>
  </si>
  <si>
    <t>Hodnota A</t>
  </si>
  <si>
    <t>Název</t>
  </si>
  <si>
    <t>ZEMNÍ PRÁCE -CELKEM</t>
  </si>
  <si>
    <t>Provizorní úprava terénu vč. drobných nerovností</t>
  </si>
  <si>
    <t>Úprava terénu po položení kabelů</t>
  </si>
  <si>
    <t>ks</t>
  </si>
  <si>
    <t>Vytyčení stávajících inženýrských sítí</t>
  </si>
  <si>
    <t xml:space="preserve">Vytýčení nových stožárů </t>
  </si>
  <si>
    <t>km</t>
  </si>
  <si>
    <t>Vytýčení nové trasy veřejného osvětlení</t>
  </si>
  <si>
    <t>VYTÝ. NOVÉ TRASY VO A STÁV. INŽ.SÍTÍ</t>
  </si>
  <si>
    <t xml:space="preserve"> Do vzdálenosti 1 km</t>
  </si>
  <si>
    <t>ODVOZ ZEMINY A ÚPRAVA POVRCHU</t>
  </si>
  <si>
    <t xml:space="preserve"> Zemina třídy 3, šíře 350mm,hloubka 800mm</t>
  </si>
  <si>
    <t>ZÁHOZ KABELOVÉ RÝHY</t>
  </si>
  <si>
    <t xml:space="preserve"> Šířka 33cm</t>
  </si>
  <si>
    <t>FOLIE VÝSTRAŽNÁ Z PVC</t>
  </si>
  <si>
    <t xml:space="preserve"> Sire 35cm,tloušťka 25cm</t>
  </si>
  <si>
    <t>ZŘÍZENÍ KABEL.LOŽE Z PROSÁTÉ ZEMINY BEZ ZAKRYTÍ</t>
  </si>
  <si>
    <t xml:space="preserve"> Zemina třídy 3, šíře 350mm,hloubka 800mm pro nové trasy a přeložky</t>
  </si>
  <si>
    <t>HLOUBENÍ KABELOVÉ RÝHY</t>
  </si>
  <si>
    <t xml:space="preserve"> D 650x1200 mm</t>
  </si>
  <si>
    <t>POUZDROVÝ ZÁKL.PRO STOŽ.VENK.</t>
  </si>
  <si>
    <t xml:space="preserve"> Zemina třídy 3-4,ručně</t>
  </si>
  <si>
    <t>HLOUBENÍ JAM PRO ZÁKLADY STOŽÁRŮ</t>
  </si>
  <si>
    <t>ELEKTROMONTÁŽE CELKEM</t>
  </si>
  <si>
    <t>%</t>
  </si>
  <si>
    <t>Podružný materiál 5% z montážního materiálu</t>
  </si>
  <si>
    <t>Součet montážního materiálu a prací</t>
  </si>
  <si>
    <t>Hodinové zúčtovací sazby - celkem</t>
  </si>
  <si>
    <t>hod</t>
  </si>
  <si>
    <t>Práce jeřábu a plošiny</t>
  </si>
  <si>
    <t>Koordinace postupu prací  s ostatnimi profesemi (stavba)</t>
  </si>
  <si>
    <t>Funkční zkoušky osvětlení, seřízení svítidel</t>
  </si>
  <si>
    <t>Zjišťování návazností na stávající rozvody</t>
  </si>
  <si>
    <t>HODINOVE ZUCTOVACI SAZBY</t>
  </si>
  <si>
    <t xml:space="preserve"> Revizni technik</t>
  </si>
  <si>
    <t>REVIZE DLE CSN 331500</t>
  </si>
  <si>
    <t>Ostatní - celkem</t>
  </si>
  <si>
    <t>Úprava stávajícího stožáru pro zapojeni nového kabelu vč. materiálu</t>
  </si>
  <si>
    <t>Uzemňovací materiál - celkem</t>
  </si>
  <si>
    <t>Svorka hromosvodová SP a SS</t>
  </si>
  <si>
    <t>Ocelový drát pozinkovaný FeZn o průměru 10nn (0,62kg/m), volně</t>
  </si>
  <si>
    <t>Uzemňovací materiál</t>
  </si>
  <si>
    <t>Stožárová výzbroj a úprava stáv.rozvaděče VO - celkem</t>
  </si>
  <si>
    <t>Pojistky do stožárové výzbroje o jmenovitém proudu 6 A</t>
  </si>
  <si>
    <t xml:space="preserve">       pro bezpaticové stožáry s 1 pojistku a 2 kabely </t>
  </si>
  <si>
    <t xml:space="preserve">       pro paticový stožár s 1 pojistkou a 2 kabely </t>
  </si>
  <si>
    <t>Stožárová výzbroj pro kabely do průřezu 25mm2</t>
  </si>
  <si>
    <t>Stožárová výzbroj</t>
  </si>
  <si>
    <t>Světelné body (stožár+výložník+svítidlo+zdroj),reproduk.</t>
  </si>
  <si>
    <t>ConstalFlux, 12LED,WW,DN09,bližší specifikace viz příloha</t>
  </si>
  <si>
    <t>Svítid.Philips LUMA MICRO PRE BGP615 T25 DN09/830,3000K,11W,1300lm</t>
  </si>
  <si>
    <t>Ochranná manžeta plastová</t>
  </si>
  <si>
    <t>výšky nad zemí 5,0 m</t>
  </si>
  <si>
    <t>Ocelový sadový 2 stup.stožár bezpaticový oboustranně pozinkovaný</t>
  </si>
  <si>
    <t>Ocelové  stožáry oboustranně pozinkované :</t>
  </si>
  <si>
    <t>Světelné body (stožár+výložník+svítidlo+zdroj)</t>
  </si>
  <si>
    <t>Kabely, ukončení kabelů - celkem</t>
  </si>
  <si>
    <t>Ukončení vodičů do 25mm2</t>
  </si>
  <si>
    <t>Ukončení vodičů do 2,5 mm2</t>
  </si>
  <si>
    <t>CYKY-J 3x1.5mm2 , pevně</t>
  </si>
  <si>
    <t>AYKY-J 4x16mm2 , volně</t>
  </si>
  <si>
    <t>KABEL SILOVÝ,IZOLACE PVC</t>
  </si>
  <si>
    <t>Kabely, ukončení kabelů</t>
  </si>
  <si>
    <t>Trubky - celkem</t>
  </si>
  <si>
    <t>KF 09040 PRŮMĚR 40mm</t>
  </si>
  <si>
    <t>KF 09063 PRŮMĚR 63mm</t>
  </si>
  <si>
    <t>KOPOFLEX</t>
  </si>
  <si>
    <t>Trubky</t>
  </si>
  <si>
    <t>ELEKTROMONTÁŽE</t>
  </si>
  <si>
    <t>vypracován nový světelně technický návrh osvětlení</t>
  </si>
  <si>
    <t>stavby. V případě použití jiných svítidel bude dodavatelem stavby</t>
  </si>
  <si>
    <t>dokumentaci, nesmí být horší kvality a musí být odsouhlaseny investorem</t>
  </si>
  <si>
    <t>technické parametry materíálů a výrobků uvedených v projektové</t>
  </si>
  <si>
    <t>Skutečně dodané typy materiálů a výrobků však musí minimálně splňovat</t>
  </si>
  <si>
    <t xml:space="preserve">při realizaci díla použít. </t>
  </si>
  <si>
    <t>V žádném případě se nejedná o materiály a výrobky, které musí dodavatel</t>
  </si>
  <si>
    <t>technického návrhu, který je nezbytnou součástí projektové dokumentace.</t>
  </si>
  <si>
    <t>V projektu uvedené typy svítidel slouží pro vypracování světelne</t>
  </si>
  <si>
    <t>z hlediska parametrů a kvality použitých výrobků a materiálů.</t>
  </si>
  <si>
    <t>V rozpočtu uvedené typy materiálů představují minimální standard</t>
  </si>
  <si>
    <t>PROHLÁŠENÍ</t>
  </si>
  <si>
    <t>Cena celkem</t>
  </si>
  <si>
    <t>Cena</t>
  </si>
  <si>
    <t>Montáž celkem</t>
  </si>
  <si>
    <t>Materiál celkem</t>
  </si>
  <si>
    <t>Materiál</t>
  </si>
  <si>
    <t>Počet</t>
  </si>
  <si>
    <t>Mj</t>
  </si>
  <si>
    <t>V.O.</t>
  </si>
  <si>
    <t>Veřejné osvětlení</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</si>
</sst>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 numFmtId="166" formatCode="#,##0.000"/>
    <numFmt numFmtId="167" formatCode="#,##0.0000"/>
  </numFmts>
  <fonts count="58">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60"/>
      <name val="Arial"/>
      <family val="0"/>
    </font>
    <font>
      <i/>
      <sz val="10"/>
      <color indexed="63"/>
      <name val="Arial"/>
      <family val="0"/>
    </font>
    <font>
      <sz val="10"/>
      <color indexed="59"/>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b/>
      <sz val="11"/>
      <color indexed="8"/>
      <name val="Tahoma"/>
      <family val="2"/>
    </font>
    <font>
      <sz val="8"/>
      <color indexed="8"/>
      <name val="Tahoma"/>
      <family val="2"/>
    </font>
    <font>
      <b/>
      <sz val="9"/>
      <color indexed="8"/>
      <name val="Tahoma"/>
      <family val="2"/>
    </font>
    <font>
      <b/>
      <sz val="8"/>
      <color indexed="8"/>
      <name val="Tahoma"/>
      <family val="2"/>
    </font>
    <font>
      <i/>
      <sz val="9"/>
      <color indexed="8"/>
      <name val="Tahoma"/>
      <family val="2"/>
    </font>
    <font>
      <sz val="11"/>
      <color indexed="8"/>
      <name val="Calibri"/>
      <family val="2"/>
    </font>
    <font>
      <b/>
      <sz val="11"/>
      <color indexed="8"/>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sz val="18"/>
      <color indexed="23"/>
      <name val="Calibri Light"/>
      <family val="2"/>
    </font>
    <font>
      <sz val="11"/>
      <color indexed="19"/>
      <name val="Calibri"/>
      <family val="2"/>
    </font>
    <font>
      <sz val="11"/>
      <color indexed="51"/>
      <name val="Calibri"/>
      <family val="2"/>
    </font>
    <font>
      <sz val="11"/>
      <color indexed="17"/>
      <name val="Calibri"/>
      <family val="2"/>
    </font>
    <font>
      <sz val="11"/>
      <color indexed="20"/>
      <name val="Calibri"/>
      <family val="2"/>
    </font>
    <font>
      <sz val="11"/>
      <color indexed="10"/>
      <name val="Calibri"/>
      <family val="2"/>
    </font>
    <font>
      <sz val="11"/>
      <color indexed="23"/>
      <name val="Calibri"/>
      <family val="2"/>
    </font>
    <font>
      <b/>
      <sz val="11"/>
      <color indexed="51"/>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41"/>
        <bgColor indexed="64"/>
      </patternFill>
    </fill>
    <fill>
      <patternFill patternType="solid">
        <fgColor indexed="22"/>
        <bgColor indexed="64"/>
      </patternFill>
    </fill>
    <fill>
      <patternFill patternType="solid">
        <fgColor indexed="14"/>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right style="thin"/>
      <top/>
      <bottom/>
    </border>
    <border>
      <left style="medium"/>
      <right style="medium"/>
      <top style="medium"/>
      <bottom/>
    </border>
    <border>
      <left style="medium"/>
      <right style="medium"/>
      <top/>
      <bottom style="medium"/>
    </border>
    <border>
      <left style="medium"/>
      <right/>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medium"/>
      <bottom/>
    </border>
    <border>
      <left style="thin"/>
      <right/>
      <top style="thin"/>
      <bottom style="thin"/>
    </border>
    <border>
      <left/>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style="thin"/>
      <right/>
      <top style="thin"/>
      <bottom/>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43" fillId="20"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22" borderId="6" applyNumberFormat="0" applyFont="0" applyAlignment="0" applyProtection="0"/>
    <xf numFmtId="43"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184">
    <xf numFmtId="0" fontId="1" fillId="0" borderId="0" xfId="0" applyFont="1" applyAlignment="1">
      <alignment vertical="center"/>
    </xf>
    <xf numFmtId="0" fontId="1"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1" fillId="0" borderId="12" xfId="0" applyNumberFormat="1" applyFont="1" applyFill="1" applyBorder="1" applyAlignment="1" applyProtection="1">
      <alignment vertical="center"/>
      <protection/>
    </xf>
    <xf numFmtId="49" fontId="4" fillId="33" borderId="13" xfId="0" applyNumberFormat="1" applyFont="1" applyFill="1" applyBorder="1" applyAlignment="1" applyProtection="1">
      <alignment vertical="center"/>
      <protection/>
    </xf>
    <xf numFmtId="49" fontId="5" fillId="34"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49" fontId="8" fillId="0" borderId="0"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1" fillId="0" borderId="17" xfId="0" applyNumberFormat="1" applyFont="1" applyFill="1" applyBorder="1" applyAlignment="1" applyProtection="1">
      <alignment vertical="center"/>
      <protection/>
    </xf>
    <xf numFmtId="49" fontId="9" fillId="33" borderId="13" xfId="0" applyNumberFormat="1" applyFont="1" applyFill="1" applyBorder="1" applyAlignment="1" applyProtection="1">
      <alignment vertical="center"/>
      <protection/>
    </xf>
    <xf numFmtId="49" fontId="10" fillId="34"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right" vertical="top"/>
      <protection/>
    </xf>
    <xf numFmtId="49" fontId="3" fillId="0" borderId="17" xfId="0" applyNumberFormat="1" applyFont="1" applyFill="1" applyBorder="1" applyAlignment="1" applyProtection="1">
      <alignment vertical="center"/>
      <protection/>
    </xf>
    <xf numFmtId="49" fontId="12"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wrapText="1"/>
      <protection/>
    </xf>
    <xf numFmtId="49" fontId="12" fillId="0" borderId="14" xfId="0" applyNumberFormat="1" applyFont="1" applyFill="1" applyBorder="1" applyAlignment="1" applyProtection="1">
      <alignment vertical="center"/>
      <protection/>
    </xf>
    <xf numFmtId="49" fontId="1" fillId="0" borderId="0"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0" fontId="1" fillId="35" borderId="0" xfId="0" applyNumberFormat="1" applyFont="1" applyFill="1" applyBorder="1" applyAlignment="1" applyProtection="1">
      <alignment vertical="center"/>
      <protection locked="0"/>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4" fillId="33" borderId="13" xfId="0" applyNumberFormat="1" applyFont="1" applyFill="1" applyBorder="1" applyAlignment="1" applyProtection="1">
      <alignment vertical="center"/>
      <protection locked="0"/>
    </xf>
    <xf numFmtId="49" fontId="5" fillId="34" borderId="0" xfId="0" applyNumberFormat="1" applyFont="1" applyFill="1" applyBorder="1" applyAlignment="1" applyProtection="1">
      <alignment vertical="center"/>
      <protection locked="0"/>
    </xf>
    <xf numFmtId="4" fontId="6" fillId="35" borderId="0" xfId="0" applyNumberFormat="1" applyFont="1" applyFill="1" applyBorder="1" applyAlignment="1" applyProtection="1">
      <alignment horizontal="right" vertical="center"/>
      <protection locked="0"/>
    </xf>
    <xf numFmtId="4" fontId="7" fillId="35" borderId="0" xfId="0" applyNumberFormat="1" applyFont="1" applyFill="1" applyBorder="1" applyAlignment="1" applyProtection="1">
      <alignment horizontal="right" vertical="center"/>
      <protection locked="0"/>
    </xf>
    <xf numFmtId="0" fontId="1" fillId="35" borderId="14" xfId="0" applyNumberFormat="1" applyFont="1" applyFill="1" applyBorder="1" applyAlignment="1" applyProtection="1">
      <alignment vertical="center"/>
      <protection locked="0"/>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49" fontId="9" fillId="33" borderId="13" xfId="0" applyNumberFormat="1" applyFont="1" applyFill="1" applyBorder="1" applyAlignment="1" applyProtection="1">
      <alignment horizontal="right" vertical="center"/>
      <protection/>
    </xf>
    <xf numFmtId="49" fontId="10" fillId="34" borderId="0"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49" fontId="3" fillId="0" borderId="25"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0" fontId="1" fillId="0" borderId="27"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9" fillId="33" borderId="13"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4" fontId="3" fillId="0" borderId="15" xfId="0" applyNumberFormat="1" applyFont="1" applyFill="1" applyBorder="1" applyAlignment="1" applyProtection="1">
      <alignment horizontal="right" vertical="center"/>
      <protection/>
    </xf>
    <xf numFmtId="49" fontId="3" fillId="0" borderId="28" xfId="0" applyNumberFormat="1" applyFont="1" applyFill="1" applyBorder="1" applyAlignment="1" applyProtection="1">
      <alignment vertical="center"/>
      <protection/>
    </xf>
    <xf numFmtId="49" fontId="1" fillId="0" borderId="13" xfId="0" applyNumberFormat="1" applyFont="1" applyFill="1" applyBorder="1" applyAlignment="1" applyProtection="1">
      <alignment vertical="center"/>
      <protection/>
    </xf>
    <xf numFmtId="49" fontId="3" fillId="0" borderId="29"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49" fontId="3" fillId="0" borderId="3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 fillId="0" borderId="28" xfId="0" applyNumberFormat="1" applyFont="1" applyFill="1" applyBorder="1" applyAlignment="1" applyProtection="1">
      <alignment horizontal="center" vertical="center"/>
      <protection/>
    </xf>
    <xf numFmtId="4" fontId="1" fillId="0" borderId="13"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0" fontId="1" fillId="0" borderId="31" xfId="0" applyNumberFormat="1" applyFont="1" applyFill="1" applyBorder="1" applyAlignment="1" applyProtection="1">
      <alignment vertical="center"/>
      <protection/>
    </xf>
    <xf numFmtId="49" fontId="15" fillId="36" borderId="32" xfId="0" applyNumberFormat="1" applyFont="1" applyFill="1" applyBorder="1" applyAlignment="1" applyProtection="1">
      <alignment horizontal="center" vertical="center"/>
      <protection/>
    </xf>
    <xf numFmtId="49" fontId="16" fillId="0" borderId="33" xfId="0" applyNumberFormat="1" applyFont="1" applyFill="1" applyBorder="1" applyAlignment="1" applyProtection="1">
      <alignment vertical="center"/>
      <protection/>
    </xf>
    <xf numFmtId="49" fontId="16" fillId="0" borderId="34" xfId="0" applyNumberFormat="1" applyFont="1" applyFill="1" applyBorder="1" applyAlignment="1" applyProtection="1">
      <alignment vertical="center"/>
      <protection/>
    </xf>
    <xf numFmtId="0" fontId="1" fillId="0" borderId="35" xfId="0" applyNumberFormat="1" applyFont="1" applyFill="1" applyBorder="1" applyAlignment="1" applyProtection="1">
      <alignment vertical="center"/>
      <protection/>
    </xf>
    <xf numFmtId="49" fontId="8" fillId="0" borderId="13" xfId="0" applyNumberFormat="1" applyFont="1" applyFill="1" applyBorder="1" applyAlignment="1" applyProtection="1">
      <alignment vertical="center"/>
      <protection/>
    </xf>
    <xf numFmtId="49" fontId="17" fillId="0" borderId="32"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4" fontId="17" fillId="0" borderId="32" xfId="0" applyNumberFormat="1" applyFont="1" applyFill="1" applyBorder="1" applyAlignment="1" applyProtection="1">
      <alignment horizontal="right" vertical="center"/>
      <protection/>
    </xf>
    <xf numFmtId="49" fontId="17" fillId="0" borderId="32" xfId="0" applyNumberFormat="1" applyFont="1" applyFill="1" applyBorder="1" applyAlignment="1" applyProtection="1">
      <alignment horizontal="right" vertical="center"/>
      <protection/>
    </xf>
    <xf numFmtId="4" fontId="17" fillId="0" borderId="21" xfId="0" applyNumberFormat="1" applyFont="1" applyFill="1" applyBorder="1" applyAlignment="1" applyProtection="1">
      <alignment horizontal="righ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 fontId="16" fillId="36" borderId="38"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protection/>
    </xf>
    <xf numFmtId="166" fontId="6" fillId="0" borderId="0" xfId="0" applyNumberFormat="1" applyFont="1" applyFill="1" applyBorder="1" applyAlignment="1" applyProtection="1">
      <alignment horizontal="right" vertical="center"/>
      <protection/>
    </xf>
    <xf numFmtId="166" fontId="12" fillId="0" borderId="0" xfId="0" applyNumberFormat="1" applyFont="1" applyFill="1" applyBorder="1" applyAlignment="1" applyProtection="1">
      <alignment horizontal="right" vertical="center"/>
      <protection/>
    </xf>
    <xf numFmtId="166" fontId="7" fillId="0" borderId="0" xfId="0" applyNumberFormat="1" applyFont="1" applyFill="1" applyBorder="1" applyAlignment="1" applyProtection="1">
      <alignment horizontal="right" vertical="center"/>
      <protection/>
    </xf>
    <xf numFmtId="166" fontId="12" fillId="0" borderId="14" xfId="0" applyNumberFormat="1" applyFont="1" applyFill="1" applyBorder="1" applyAlignment="1" applyProtection="1">
      <alignment horizontal="right" vertical="center"/>
      <protection/>
    </xf>
    <xf numFmtId="49" fontId="6" fillId="37" borderId="39" xfId="0" applyNumberFormat="1" applyFont="1" applyFill="1" applyBorder="1" applyAlignment="1" applyProtection="1">
      <alignment horizontal="right" vertical="center"/>
      <protection/>
    </xf>
    <xf numFmtId="0" fontId="0" fillId="37" borderId="40" xfId="1" applyNumberFormat="1" applyFill="1" applyBorder="1" applyAlignment="1" applyProtection="1">
      <alignment/>
      <protection/>
    </xf>
    <xf numFmtId="49" fontId="6" fillId="37" borderId="41" xfId="0" applyNumberFormat="1" applyFont="1" applyFill="1" applyBorder="1" applyAlignment="1" applyProtection="1">
      <alignment vertical="center"/>
      <protection/>
    </xf>
    <xf numFmtId="0" fontId="0" fillId="37" borderId="42" xfId="1" applyNumberFormat="1" applyFill="1" applyBorder="1" applyAlignment="1" applyProtection="1">
      <alignment/>
      <protection/>
    </xf>
    <xf numFmtId="49" fontId="12" fillId="37" borderId="42" xfId="0" applyNumberFormat="1" applyFont="1" applyFill="1" applyBorder="1" applyAlignment="1" applyProtection="1">
      <alignment vertical="center"/>
      <protection/>
    </xf>
    <xf numFmtId="166" fontId="6" fillId="37" borderId="41" xfId="0" applyNumberFormat="1" applyFont="1" applyFill="1" applyBorder="1" applyAlignment="1" applyProtection="1">
      <alignment horizontal="right" vertical="center"/>
      <protection/>
    </xf>
    <xf numFmtId="4" fontId="6" fillId="37" borderId="41" xfId="0" applyNumberFormat="1" applyFont="1" applyFill="1" applyBorder="1" applyAlignment="1" applyProtection="1">
      <alignment horizontal="right" vertical="center"/>
      <protection locked="0"/>
    </xf>
    <xf numFmtId="166" fontId="12" fillId="37" borderId="42" xfId="0" applyNumberFormat="1" applyFont="1" applyFill="1" applyBorder="1" applyAlignment="1" applyProtection="1">
      <alignment horizontal="right" vertical="center"/>
      <protection/>
    </xf>
    <xf numFmtId="4" fontId="6" fillId="37" borderId="41" xfId="0" applyNumberFormat="1" applyFont="1" applyFill="1" applyBorder="1" applyAlignment="1" applyProtection="1">
      <alignment horizontal="right" vertical="center"/>
      <protection/>
    </xf>
    <xf numFmtId="0" fontId="1" fillId="37" borderId="42" xfId="0" applyNumberFormat="1" applyFont="1" applyFill="1" applyBorder="1" applyAlignment="1" applyProtection="1">
      <alignment vertical="center"/>
      <protection locked="0"/>
    </xf>
    <xf numFmtId="0" fontId="0" fillId="0" borderId="0" xfId="45">
      <alignment/>
      <protection/>
    </xf>
    <xf numFmtId="4" fontId="0" fillId="0" borderId="0" xfId="45" applyNumberFormat="1">
      <alignment/>
      <protection/>
    </xf>
    <xf numFmtId="49" fontId="0" fillId="0" borderId="0" xfId="45" applyNumberFormat="1">
      <alignment/>
      <protection/>
    </xf>
    <xf numFmtId="4" fontId="20" fillId="38" borderId="0" xfId="45" applyNumberFormat="1" applyFont="1" applyFill="1" applyBorder="1" applyAlignment="1">
      <alignment horizontal="right"/>
      <protection/>
    </xf>
    <xf numFmtId="49" fontId="20" fillId="38" borderId="0" xfId="45" applyNumberFormat="1" applyFont="1" applyFill="1" applyBorder="1" applyAlignment="1">
      <alignment horizontal="left"/>
      <protection/>
    </xf>
    <xf numFmtId="4" fontId="21" fillId="39" borderId="0" xfId="45" applyNumberFormat="1" applyFont="1" applyFill="1" applyBorder="1" applyAlignment="1">
      <alignment horizontal="right"/>
      <protection/>
    </xf>
    <xf numFmtId="49" fontId="21" fillId="39" borderId="0" xfId="45" applyNumberFormat="1" applyFont="1" applyFill="1" applyBorder="1" applyAlignment="1">
      <alignment horizontal="left"/>
      <protection/>
    </xf>
    <xf numFmtId="4" fontId="22" fillId="40" borderId="0" xfId="45" applyNumberFormat="1" applyFont="1" applyFill="1" applyBorder="1" applyAlignment="1">
      <alignment horizontal="right"/>
      <protection/>
    </xf>
    <xf numFmtId="49" fontId="22" fillId="40" borderId="0" xfId="45" applyNumberFormat="1" applyFont="1" applyFill="1" applyBorder="1" applyAlignment="1">
      <alignment horizontal="left"/>
      <protection/>
    </xf>
    <xf numFmtId="4" fontId="23" fillId="39" borderId="0" xfId="45" applyNumberFormat="1" applyFont="1" applyFill="1" applyBorder="1" applyAlignment="1">
      <alignment horizontal="right"/>
      <protection/>
    </xf>
    <xf numFmtId="49" fontId="23" fillId="39" borderId="0" xfId="45" applyNumberFormat="1" applyFont="1" applyFill="1" applyBorder="1" applyAlignment="1">
      <alignment horizontal="left"/>
      <protection/>
    </xf>
    <xf numFmtId="167" fontId="21" fillId="39" borderId="0" xfId="45" applyNumberFormat="1" applyFont="1" applyFill="1" applyBorder="1" applyAlignment="1">
      <alignment horizontal="right"/>
      <protection/>
    </xf>
    <xf numFmtId="4" fontId="21" fillId="41" borderId="39" xfId="45" applyNumberFormat="1" applyFont="1" applyFill="1" applyBorder="1" applyAlignment="1">
      <alignment horizontal="left"/>
      <protection/>
    </xf>
    <xf numFmtId="49" fontId="21" fillId="41" borderId="39" xfId="45" applyNumberFormat="1" applyFont="1" applyFill="1" applyBorder="1" applyAlignment="1">
      <alignment horizontal="left"/>
      <protection/>
    </xf>
    <xf numFmtId="4" fontId="0" fillId="0" borderId="0" xfId="45" applyNumberFormat="1" applyBorder="1">
      <alignment/>
      <protection/>
    </xf>
    <xf numFmtId="49" fontId="0" fillId="0" borderId="0" xfId="45" applyNumberFormat="1" applyBorder="1">
      <alignment/>
      <protection/>
    </xf>
    <xf numFmtId="2" fontId="0" fillId="0" borderId="0" xfId="45" applyNumberFormat="1">
      <alignment/>
      <protection/>
    </xf>
    <xf numFmtId="2" fontId="20" fillId="38" borderId="0" xfId="45" applyNumberFormat="1" applyFont="1" applyFill="1" applyBorder="1" applyAlignment="1">
      <alignment horizontal="right"/>
      <protection/>
    </xf>
    <xf numFmtId="2" fontId="20" fillId="38" borderId="0" xfId="45" applyNumberFormat="1" applyFont="1" applyFill="1" applyBorder="1" applyAlignment="1">
      <alignment horizontal="left"/>
      <protection/>
    </xf>
    <xf numFmtId="2" fontId="21" fillId="39" borderId="0" xfId="45" applyNumberFormat="1" applyFont="1" applyFill="1" applyBorder="1" applyAlignment="1">
      <alignment horizontal="right"/>
      <protection/>
    </xf>
    <xf numFmtId="4" fontId="24" fillId="41" borderId="0" xfId="45" applyNumberFormat="1" applyFont="1" applyFill="1" applyBorder="1" applyAlignment="1">
      <alignment horizontal="right"/>
      <protection/>
    </xf>
    <xf numFmtId="2" fontId="24" fillId="41" borderId="0" xfId="45" applyNumberFormat="1" applyFont="1" applyFill="1" applyBorder="1" applyAlignment="1">
      <alignment horizontal="right"/>
      <protection/>
    </xf>
    <xf numFmtId="4" fontId="24" fillId="41" borderId="0" xfId="45" applyNumberFormat="1" applyFont="1" applyFill="1" applyBorder="1" applyAlignment="1">
      <alignment horizontal="left"/>
      <protection/>
    </xf>
    <xf numFmtId="49" fontId="24" fillId="41" borderId="0" xfId="45" applyNumberFormat="1" applyFont="1" applyFill="1" applyBorder="1" applyAlignment="1">
      <alignment horizontal="left"/>
      <protection/>
    </xf>
    <xf numFmtId="2" fontId="21" fillId="39" borderId="0" xfId="45" applyNumberFormat="1" applyFont="1" applyFill="1" applyBorder="1" applyAlignment="1">
      <alignment horizontal="left"/>
      <protection/>
    </xf>
    <xf numFmtId="2" fontId="24" fillId="41" borderId="0" xfId="45" applyNumberFormat="1" applyFont="1" applyFill="1" applyBorder="1" applyAlignment="1">
      <alignment horizontal="left"/>
      <protection/>
    </xf>
    <xf numFmtId="2" fontId="0" fillId="0" borderId="0" xfId="45" applyNumberFormat="1" applyBorder="1">
      <alignment/>
      <protection/>
    </xf>
    <xf numFmtId="2" fontId="22" fillId="40" borderId="0" xfId="45" applyNumberFormat="1" applyFont="1" applyFill="1" applyBorder="1" applyAlignment="1">
      <alignment horizontal="right"/>
      <protection/>
    </xf>
    <xf numFmtId="2" fontId="22" fillId="40" borderId="0" xfId="45" applyNumberFormat="1" applyFont="1" applyFill="1" applyBorder="1" applyAlignment="1">
      <alignment horizontal="left"/>
      <protection/>
    </xf>
    <xf numFmtId="2" fontId="22" fillId="40" borderId="0" xfId="45" applyNumberFormat="1" applyFont="1" applyFill="1" applyBorder="1" applyAlignment="1">
      <alignment/>
      <protection/>
    </xf>
    <xf numFmtId="4" fontId="21" fillId="39" borderId="0" xfId="45" applyNumberFormat="1" applyFont="1" applyFill="1" applyBorder="1" applyAlignment="1">
      <alignment/>
      <protection/>
    </xf>
    <xf numFmtId="4" fontId="21" fillId="39" borderId="0" xfId="45" applyNumberFormat="1" applyFont="1" applyFill="1" applyBorder="1" applyAlignment="1">
      <alignment horizontal="left"/>
      <protection/>
    </xf>
    <xf numFmtId="0" fontId="21" fillId="39" borderId="0" xfId="45" applyNumberFormat="1" applyFont="1" applyFill="1" applyBorder="1" applyAlignment="1">
      <alignment horizontal="left"/>
      <protection/>
    </xf>
    <xf numFmtId="49" fontId="22" fillId="40" borderId="0" xfId="45" applyNumberFormat="1" applyFont="1" applyFill="1" applyBorder="1" applyAlignment="1">
      <alignment horizontal="right"/>
      <protection/>
    </xf>
    <xf numFmtId="4" fontId="21" fillId="41" borderId="0" xfId="45" applyNumberFormat="1" applyFont="1" applyFill="1" applyBorder="1" applyAlignment="1">
      <alignment horizontal="left"/>
      <protection/>
    </xf>
    <xf numFmtId="49" fontId="21" fillId="41" borderId="0" xfId="45" applyNumberFormat="1" applyFont="1" applyFill="1" applyBorder="1" applyAlignment="1">
      <alignment horizontal="lef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vertical="center" wrapText="1"/>
      <protection/>
    </xf>
    <xf numFmtId="0" fontId="1" fillId="0" borderId="15"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wrapText="1"/>
      <protection/>
    </xf>
    <xf numFmtId="49"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49" fontId="1" fillId="0" borderId="24" xfId="0" applyNumberFormat="1" applyFont="1" applyFill="1" applyBorder="1" applyAlignment="1" applyProtection="1">
      <alignment vertical="center"/>
      <protection/>
    </xf>
    <xf numFmtId="49" fontId="1" fillId="0" borderId="0"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wrapText="1"/>
      <protection/>
    </xf>
    <xf numFmtId="0" fontId="1" fillId="0" borderId="44" xfId="0" applyNumberFormat="1" applyFont="1" applyFill="1" applyBorder="1" applyAlignment="1" applyProtection="1">
      <alignment vertical="center"/>
      <protection/>
    </xf>
    <xf numFmtId="49" fontId="14" fillId="0" borderId="45" xfId="0" applyNumberFormat="1" applyFont="1" applyFill="1" applyBorder="1" applyAlignment="1" applyProtection="1">
      <alignment horizontal="center" vertical="center"/>
      <protection/>
    </xf>
    <xf numFmtId="0" fontId="14" fillId="0" borderId="45" xfId="0" applyNumberFormat="1" applyFont="1" applyFill="1" applyBorder="1" applyAlignment="1" applyProtection="1">
      <alignment horizontal="center" vertical="center"/>
      <protection/>
    </xf>
    <xf numFmtId="49" fontId="18" fillId="0" borderId="37" xfId="0" applyNumberFormat="1" applyFont="1" applyFill="1" applyBorder="1" applyAlignment="1" applyProtection="1">
      <alignment vertical="center"/>
      <protection/>
    </xf>
    <xf numFmtId="0" fontId="18" fillId="0" borderId="38" xfId="0" applyNumberFormat="1" applyFont="1" applyFill="1" applyBorder="1" applyAlignment="1" applyProtection="1">
      <alignment vertical="center"/>
      <protection/>
    </xf>
    <xf numFmtId="49" fontId="17" fillId="0" borderId="37" xfId="0" applyNumberFormat="1" applyFont="1" applyFill="1" applyBorder="1" applyAlignment="1" applyProtection="1">
      <alignment vertical="center"/>
      <protection/>
    </xf>
    <xf numFmtId="0" fontId="17" fillId="0" borderId="38" xfId="0" applyNumberFormat="1" applyFont="1" applyFill="1" applyBorder="1" applyAlignment="1" applyProtection="1">
      <alignment vertical="center"/>
      <protection/>
    </xf>
    <xf numFmtId="49" fontId="16" fillId="0" borderId="37" xfId="0" applyNumberFormat="1" applyFont="1" applyFill="1" applyBorder="1" applyAlignment="1" applyProtection="1">
      <alignment vertical="center"/>
      <protection/>
    </xf>
    <xf numFmtId="0" fontId="16" fillId="0" borderId="38" xfId="0" applyNumberFormat="1" applyFont="1" applyFill="1" applyBorder="1" applyAlignment="1" applyProtection="1">
      <alignment vertical="center"/>
      <protection/>
    </xf>
    <xf numFmtId="49" fontId="16" fillId="36" borderId="37" xfId="0" applyNumberFormat="1" applyFont="1" applyFill="1" applyBorder="1" applyAlignment="1" applyProtection="1">
      <alignment vertical="center"/>
      <protection/>
    </xf>
    <xf numFmtId="0" fontId="16" fillId="36" borderId="45" xfId="0" applyNumberFormat="1" applyFont="1" applyFill="1" applyBorder="1" applyAlignment="1" applyProtection="1">
      <alignment vertical="center"/>
      <protection/>
    </xf>
    <xf numFmtId="49" fontId="17" fillId="0" borderId="46" xfId="0" applyNumberFormat="1" applyFont="1" applyFill="1" applyBorder="1" applyAlignment="1" applyProtection="1">
      <alignment vertical="center"/>
      <protection/>
    </xf>
    <xf numFmtId="0" fontId="17" fillId="0" borderId="13" xfId="0" applyNumberFormat="1" applyFont="1" applyFill="1" applyBorder="1" applyAlignment="1" applyProtection="1">
      <alignment vertical="center"/>
      <protection/>
    </xf>
    <xf numFmtId="0" fontId="17" fillId="0" borderId="47" xfId="0" applyNumberFormat="1" applyFont="1" applyFill="1" applyBorder="1" applyAlignment="1" applyProtection="1">
      <alignment vertical="center"/>
      <protection/>
    </xf>
    <xf numFmtId="49" fontId="17" fillId="0" borderId="27"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7" fillId="0" borderId="48" xfId="0" applyNumberFormat="1" applyFont="1" applyFill="1" applyBorder="1" applyAlignment="1" applyProtection="1">
      <alignment vertical="center"/>
      <protection/>
    </xf>
    <xf numFmtId="49" fontId="17" fillId="0" borderId="49" xfId="0" applyNumberFormat="1" applyFont="1" applyFill="1" applyBorder="1" applyAlignment="1" applyProtection="1">
      <alignment vertical="center"/>
      <protection/>
    </xf>
    <xf numFmtId="0" fontId="17" fillId="0" borderId="50" xfId="0" applyNumberFormat="1" applyFont="1" applyFill="1" applyBorder="1" applyAlignment="1" applyProtection="1">
      <alignment vertical="center"/>
      <protection/>
    </xf>
    <xf numFmtId="0" fontId="17" fillId="0" borderId="51" xfId="0" applyNumberFormat="1" applyFont="1" applyFill="1" applyBorder="1" applyAlignment="1" applyProtection="1">
      <alignment vertical="center"/>
      <protection/>
    </xf>
    <xf numFmtId="49"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protection/>
    </xf>
    <xf numFmtId="0" fontId="1" fillId="0" borderId="52" xfId="0" applyNumberFormat="1" applyFont="1" applyFill="1" applyBorder="1" applyAlignment="1" applyProtection="1">
      <alignment vertical="center"/>
      <protection/>
    </xf>
    <xf numFmtId="0" fontId="1" fillId="0" borderId="50" xfId="0" applyNumberFormat="1" applyFont="1" applyFill="1" applyBorder="1" applyAlignment="1" applyProtection="1">
      <alignment vertical="center"/>
      <protection/>
    </xf>
    <xf numFmtId="0" fontId="1" fillId="0" borderId="53" xfId="0" applyNumberFormat="1" applyFont="1" applyFill="1" applyBorder="1" applyAlignment="1" applyProtection="1">
      <alignment vertical="center"/>
      <protection/>
    </xf>
    <xf numFmtId="49" fontId="1" fillId="0" borderId="15" xfId="0" applyNumberFormat="1" applyFont="1" applyFill="1" applyBorder="1" applyAlignment="1" applyProtection="1">
      <alignment vertical="center"/>
      <protection/>
    </xf>
    <xf numFmtId="49" fontId="1" fillId="35" borderId="15" xfId="0" applyNumberFormat="1" applyFont="1" applyFill="1" applyBorder="1" applyAlignment="1" applyProtection="1">
      <alignment vertical="center"/>
      <protection locked="0"/>
    </xf>
    <xf numFmtId="0" fontId="1" fillId="35" borderId="15" xfId="0" applyNumberFormat="1" applyFont="1" applyFill="1" applyBorder="1" applyAlignment="1" applyProtection="1">
      <alignment vertical="center"/>
      <protection locked="0"/>
    </xf>
    <xf numFmtId="0" fontId="1" fillId="35" borderId="0" xfId="0" applyNumberFormat="1" applyFont="1" applyFill="1" applyBorder="1" applyAlignment="1" applyProtection="1">
      <alignment vertical="center"/>
      <protection locked="0"/>
    </xf>
    <xf numFmtId="49" fontId="1" fillId="35" borderId="0" xfId="0" applyNumberFormat="1" applyFont="1" applyFill="1" applyBorder="1" applyAlignment="1" applyProtection="1">
      <alignment vertical="center"/>
      <protection locked="0"/>
    </xf>
    <xf numFmtId="0" fontId="1" fillId="35" borderId="0" xfId="0" applyNumberFormat="1" applyFont="1" applyFill="1" applyBorder="1" applyAlignment="1" applyProtection="1">
      <alignment vertical="center" wrapText="1"/>
      <protection locked="0"/>
    </xf>
    <xf numFmtId="0" fontId="1" fillId="35" borderId="24" xfId="0" applyNumberFormat="1" applyFont="1" applyFill="1" applyBorder="1" applyAlignment="1" applyProtection="1">
      <alignment vertical="center"/>
      <protection locked="0"/>
    </xf>
    <xf numFmtId="0" fontId="1" fillId="35" borderId="50" xfId="0" applyNumberFormat="1" applyFont="1" applyFill="1" applyBorder="1" applyAlignment="1" applyProtection="1">
      <alignment vertical="center"/>
      <protection locked="0"/>
    </xf>
    <xf numFmtId="0" fontId="1" fillId="35" borderId="53"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protection/>
    </xf>
    <xf numFmtId="0" fontId="11" fillId="35" borderId="0" xfId="0" applyNumberFormat="1" applyFont="1" applyFill="1" applyBorder="1" applyAlignment="1" applyProtection="1">
      <alignment vertical="center"/>
      <protection locked="0"/>
    </xf>
    <xf numFmtId="49" fontId="3" fillId="0" borderId="15" xfId="0" applyNumberFormat="1" applyFont="1" applyFill="1" applyBorder="1" applyAlignment="1" applyProtection="1">
      <alignment vertical="center"/>
      <protection/>
    </xf>
    <xf numFmtId="49" fontId="3" fillId="0" borderId="54" xfId="0" applyNumberFormat="1" applyFont="1" applyFill="1" applyBorder="1" applyAlignment="1" applyProtection="1">
      <alignment horizontal="center" vertical="center"/>
      <protection/>
    </xf>
    <xf numFmtId="0" fontId="3" fillId="0" borderId="55" xfId="0" applyNumberFormat="1" applyFont="1" applyFill="1" applyBorder="1" applyAlignment="1" applyProtection="1">
      <alignment horizontal="center" vertical="center"/>
      <protection/>
    </xf>
    <xf numFmtId="0" fontId="3" fillId="0" borderId="56" xfId="0" applyNumberFormat="1" applyFont="1" applyFill="1" applyBorder="1" applyAlignment="1" applyProtection="1">
      <alignment horizontal="center" vertical="center"/>
      <protection/>
    </xf>
  </cellXfs>
  <cellStyles count="45">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0]" xfId="35"/>
    <cellStyle name="Kontrolní buňka" xfId="36"/>
    <cellStyle name="Nadpis 1" xfId="39"/>
    <cellStyle name="Nadpis 2" xfId="40"/>
    <cellStyle name="Nadpis 3" xfId="41"/>
    <cellStyle name="Nadpis 4" xfId="42"/>
    <cellStyle name="Název" xfId="43"/>
    <cellStyle name="Neutrální" xfId="44"/>
    <cellStyle name="Normální 2"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80"/>
      <rgbColor rgb="00808080"/>
      <rgbColor rgb="00000000"/>
      <rgbColor rgb="00FFFF00"/>
      <rgbColor rgb="00FFFFFF"/>
      <rgbColor rgb="00000080"/>
      <rgbColor rgb="00808080"/>
      <rgbColor rgb="00FF0000"/>
      <rgbColor rgb="00008080"/>
      <rgbColor rgb="00000000"/>
      <rgbColor rgb="000000FF"/>
      <rgbColor rgb="00008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295275</xdr:colOff>
      <xdr:row>0</xdr:row>
      <xdr:rowOff>885825</xdr:rowOff>
    </xdr:to>
    <xdr:pic>
      <xdr:nvPicPr>
        <xdr:cNvPr id="1" name="obrázek 1"/>
        <xdr:cNvPicPr preferRelativeResize="1">
          <a:picLocks noChangeAspect="1"/>
        </xdr:cNvPicPr>
      </xdr:nvPicPr>
      <xdr:blipFill>
        <a:blip r:embed="rId1"/>
        <a:stretch>
          <a:fillRect/>
        </a:stretch>
      </xdr:blipFill>
      <xdr:spPr>
        <a:xfrm>
          <a:off x="0" y="0"/>
          <a:ext cx="17621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628650</xdr:colOff>
      <xdr:row>0</xdr:row>
      <xdr:rowOff>885825</xdr:rowOff>
    </xdr:to>
    <xdr:pic>
      <xdr:nvPicPr>
        <xdr:cNvPr id="1" name="obrázek 1"/>
        <xdr:cNvPicPr preferRelativeResize="1">
          <a:picLocks noChangeAspect="1"/>
        </xdr:cNvPicPr>
      </xdr:nvPicPr>
      <xdr:blipFill>
        <a:blip r:embed="rId1"/>
        <a:stretch>
          <a:fillRect/>
        </a:stretch>
      </xdr:blipFill>
      <xdr:spPr>
        <a:xfrm>
          <a:off x="0" y="0"/>
          <a:ext cx="17335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190500</xdr:colOff>
      <xdr:row>0</xdr:row>
      <xdr:rowOff>885825</xdr:rowOff>
    </xdr:to>
    <xdr:pic>
      <xdr:nvPicPr>
        <xdr:cNvPr id="1" name="obrázek 1"/>
        <xdr:cNvPicPr preferRelativeResize="1">
          <a:picLocks noChangeAspect="1"/>
        </xdr:cNvPicPr>
      </xdr:nvPicPr>
      <xdr:blipFill>
        <a:blip r:embed="rId1"/>
        <a:stretch>
          <a:fillRect/>
        </a:stretch>
      </xdr:blipFill>
      <xdr:spPr>
        <a:xfrm>
          <a:off x="0" y="0"/>
          <a:ext cx="18002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I25" sqref="I25"/>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72"/>
      <c r="B1" s="8"/>
      <c r="C1" s="123" t="s">
        <v>748</v>
      </c>
      <c r="D1" s="124"/>
      <c r="E1" s="124"/>
      <c r="F1" s="124"/>
      <c r="G1" s="124"/>
      <c r="H1" s="124"/>
      <c r="I1" s="124"/>
    </row>
    <row r="2" spans="1:10" ht="12.75">
      <c r="A2" s="125" t="s">
        <v>1</v>
      </c>
      <c r="B2" s="126"/>
      <c r="C2" s="129" t="str">
        <f>'Stavební rozpočet'!D2</f>
        <v>Park Všestarka – přístupový chodník a úprava komunikace</v>
      </c>
      <c r="D2" s="130"/>
      <c r="E2" s="132" t="s">
        <v>646</v>
      </c>
      <c r="F2" s="132" t="str">
        <f>'Stavební rozpočet'!J2</f>
        <v>Obec Všestary</v>
      </c>
      <c r="G2" s="126"/>
      <c r="H2" s="132" t="s">
        <v>773</v>
      </c>
      <c r="I2" s="133"/>
      <c r="J2" s="1"/>
    </row>
    <row r="3" spans="1:10" ht="12.75">
      <c r="A3" s="127"/>
      <c r="B3" s="128"/>
      <c r="C3" s="131"/>
      <c r="D3" s="131"/>
      <c r="E3" s="128"/>
      <c r="F3" s="128"/>
      <c r="G3" s="128"/>
      <c r="H3" s="128"/>
      <c r="I3" s="134"/>
      <c r="J3" s="1"/>
    </row>
    <row r="4" spans="1:10" ht="12.75">
      <c r="A4" s="135" t="s">
        <v>2</v>
      </c>
      <c r="B4" s="128"/>
      <c r="C4" s="136" t="str">
        <f>'Stavební rozpočet'!D4</f>
        <v>Chodník, parkoviště</v>
      </c>
      <c r="D4" s="128"/>
      <c r="E4" s="136" t="s">
        <v>647</v>
      </c>
      <c r="F4" s="136" t="str">
        <f>'Stavební rozpočet'!J4</f>
        <v>Kamil Hronovský</v>
      </c>
      <c r="G4" s="128"/>
      <c r="H4" s="136" t="s">
        <v>773</v>
      </c>
      <c r="I4" s="137" t="s">
        <v>777</v>
      </c>
      <c r="J4" s="1"/>
    </row>
    <row r="5" spans="1:10" ht="12.75">
      <c r="A5" s="127"/>
      <c r="B5" s="128"/>
      <c r="C5" s="128"/>
      <c r="D5" s="128"/>
      <c r="E5" s="128"/>
      <c r="F5" s="128"/>
      <c r="G5" s="128"/>
      <c r="H5" s="128"/>
      <c r="I5" s="134"/>
      <c r="J5" s="1"/>
    </row>
    <row r="6" spans="1:10" ht="12.75">
      <c r="A6" s="135" t="s">
        <v>3</v>
      </c>
      <c r="B6" s="128"/>
      <c r="C6" s="136" t="str">
        <f>'Stavební rozpočet'!D6</f>
        <v>Park Všestarka – přístupový chodník a úprava komunikace</v>
      </c>
      <c r="D6" s="128"/>
      <c r="E6" s="136" t="s">
        <v>648</v>
      </c>
      <c r="F6" s="136" t="str">
        <f>'Stavební rozpočet'!J6</f>
        <v>Na základě výběrového řízení</v>
      </c>
      <c r="G6" s="128"/>
      <c r="H6" s="136" t="s">
        <v>773</v>
      </c>
      <c r="I6" s="137"/>
      <c r="J6" s="1"/>
    </row>
    <row r="7" spans="1:10" ht="12.75">
      <c r="A7" s="127"/>
      <c r="B7" s="128"/>
      <c r="C7" s="128"/>
      <c r="D7" s="128"/>
      <c r="E7" s="128"/>
      <c r="F7" s="128"/>
      <c r="G7" s="128"/>
      <c r="H7" s="128"/>
      <c r="I7" s="134"/>
      <c r="J7" s="1"/>
    </row>
    <row r="8" spans="1:10" ht="12.75">
      <c r="A8" s="135" t="s">
        <v>622</v>
      </c>
      <c r="B8" s="128"/>
      <c r="C8" s="136" t="str">
        <f>'Stavební rozpočet'!G4</f>
        <v> </v>
      </c>
      <c r="D8" s="128"/>
      <c r="E8" s="136" t="s">
        <v>623</v>
      </c>
      <c r="F8" s="136" t="str">
        <f>'Stavební rozpočet'!G6</f>
        <v> </v>
      </c>
      <c r="G8" s="128"/>
      <c r="H8" s="138" t="s">
        <v>774</v>
      </c>
      <c r="I8" s="137" t="s">
        <v>141</v>
      </c>
      <c r="J8" s="1"/>
    </row>
    <row r="9" spans="1:10" ht="12.75">
      <c r="A9" s="127"/>
      <c r="B9" s="128"/>
      <c r="C9" s="128"/>
      <c r="D9" s="128"/>
      <c r="E9" s="128"/>
      <c r="F9" s="128"/>
      <c r="G9" s="128"/>
      <c r="H9" s="128"/>
      <c r="I9" s="134"/>
      <c r="J9" s="1"/>
    </row>
    <row r="10" spans="1:10" ht="12.75">
      <c r="A10" s="135" t="s">
        <v>4</v>
      </c>
      <c r="B10" s="128"/>
      <c r="C10" s="136">
        <f>'Stavební rozpočet'!D8</f>
        <v>82229</v>
      </c>
      <c r="D10" s="128"/>
      <c r="E10" s="136" t="s">
        <v>649</v>
      </c>
      <c r="F10" s="136" t="str">
        <f>'Stavební rozpočet'!J8</f>
        <v>Ing. Theodor Collino</v>
      </c>
      <c r="G10" s="128"/>
      <c r="H10" s="138" t="s">
        <v>775</v>
      </c>
      <c r="I10" s="141" t="str">
        <f>'Stavební rozpočet'!G8</f>
        <v>05.02.2018</v>
      </c>
      <c r="J10" s="1"/>
    </row>
    <row r="11" spans="1:10" ht="12.75">
      <c r="A11" s="139"/>
      <c r="B11" s="140"/>
      <c r="C11" s="140"/>
      <c r="D11" s="140"/>
      <c r="E11" s="140"/>
      <c r="F11" s="140"/>
      <c r="G11" s="140"/>
      <c r="H11" s="140"/>
      <c r="I11" s="142"/>
      <c r="J11" s="1"/>
    </row>
    <row r="12" spans="1:9" ht="23.25" customHeight="1">
      <c r="A12" s="143" t="s">
        <v>732</v>
      </c>
      <c r="B12" s="144"/>
      <c r="C12" s="144"/>
      <c r="D12" s="144"/>
      <c r="E12" s="144"/>
      <c r="F12" s="144"/>
      <c r="G12" s="144"/>
      <c r="H12" s="144"/>
      <c r="I12" s="144"/>
    </row>
    <row r="13" spans="1:10" ht="26.25" customHeight="1">
      <c r="A13" s="59" t="s">
        <v>733</v>
      </c>
      <c r="B13" s="145" t="s">
        <v>746</v>
      </c>
      <c r="C13" s="146"/>
      <c r="D13" s="59" t="s">
        <v>749</v>
      </c>
      <c r="E13" s="145" t="s">
        <v>759</v>
      </c>
      <c r="F13" s="146"/>
      <c r="G13" s="59" t="s">
        <v>760</v>
      </c>
      <c r="H13" s="145" t="s">
        <v>776</v>
      </c>
      <c r="I13" s="146"/>
      <c r="J13" s="1"/>
    </row>
    <row r="14" spans="1:10" ht="15" customHeight="1">
      <c r="A14" s="60" t="s">
        <v>734</v>
      </c>
      <c r="B14" s="64" t="s">
        <v>747</v>
      </c>
      <c r="C14" s="66">
        <f>SUM('Stavební rozpočet'!R12:R398)</f>
        <v>0</v>
      </c>
      <c r="D14" s="147" t="s">
        <v>750</v>
      </c>
      <c r="E14" s="148"/>
      <c r="F14" s="66">
        <v>0</v>
      </c>
      <c r="G14" s="147" t="s">
        <v>761</v>
      </c>
      <c r="H14" s="148"/>
      <c r="I14" s="66">
        <v>0</v>
      </c>
      <c r="J14" s="1"/>
    </row>
    <row r="15" spans="1:10" ht="15" customHeight="1">
      <c r="A15" s="61"/>
      <c r="B15" s="64" t="s">
        <v>650</v>
      </c>
      <c r="C15" s="66">
        <f>SUM('Stavební rozpočet'!S12:S398)</f>
        <v>0</v>
      </c>
      <c r="D15" s="147" t="s">
        <v>751</v>
      </c>
      <c r="E15" s="148"/>
      <c r="F15" s="66">
        <v>0</v>
      </c>
      <c r="G15" s="147" t="s">
        <v>762</v>
      </c>
      <c r="H15" s="148"/>
      <c r="I15" s="66">
        <v>0</v>
      </c>
      <c r="J15" s="1"/>
    </row>
    <row r="16" spans="1:10" ht="15" customHeight="1">
      <c r="A16" s="60" t="s">
        <v>735</v>
      </c>
      <c r="B16" s="64" t="s">
        <v>747</v>
      </c>
      <c r="C16" s="66">
        <f>SUM('Stavební rozpočet'!T12:T398)</f>
        <v>0</v>
      </c>
      <c r="D16" s="147" t="s">
        <v>752</v>
      </c>
      <c r="E16" s="148"/>
      <c r="F16" s="66">
        <v>0</v>
      </c>
      <c r="G16" s="147" t="s">
        <v>763</v>
      </c>
      <c r="H16" s="148"/>
      <c r="I16" s="66">
        <v>0</v>
      </c>
      <c r="J16" s="1"/>
    </row>
    <row r="17" spans="1:10" ht="15" customHeight="1">
      <c r="A17" s="61"/>
      <c r="B17" s="64" t="s">
        <v>650</v>
      </c>
      <c r="C17" s="66">
        <f>SUM('Stavební rozpočet'!U12:U398)</f>
        <v>0</v>
      </c>
      <c r="D17" s="147" t="s">
        <v>753</v>
      </c>
      <c r="E17" s="148"/>
      <c r="F17" s="67"/>
      <c r="G17" s="147" t="s">
        <v>611</v>
      </c>
      <c r="H17" s="148"/>
      <c r="I17" s="66">
        <v>0</v>
      </c>
      <c r="J17" s="1"/>
    </row>
    <row r="18" spans="1:10" ht="15" customHeight="1">
      <c r="A18" s="60" t="s">
        <v>736</v>
      </c>
      <c r="B18" s="64" t="s">
        <v>747</v>
      </c>
      <c r="C18" s="66">
        <f>SUM('Stavební rozpočet'!V12:V398)</f>
        <v>0</v>
      </c>
      <c r="D18" s="147"/>
      <c r="E18" s="148"/>
      <c r="F18" s="67"/>
      <c r="G18" s="147" t="s">
        <v>764</v>
      </c>
      <c r="H18" s="148"/>
      <c r="I18" s="66">
        <v>0</v>
      </c>
      <c r="J18" s="1"/>
    </row>
    <row r="19" spans="1:10" ht="15" customHeight="1">
      <c r="A19" s="61"/>
      <c r="B19" s="64" t="s">
        <v>650</v>
      </c>
      <c r="C19" s="66">
        <f>SUM('Stavební rozpočet'!W12:W398)</f>
        <v>0</v>
      </c>
      <c r="D19" s="147"/>
      <c r="E19" s="148"/>
      <c r="F19" s="67"/>
      <c r="G19" s="147" t="s">
        <v>765</v>
      </c>
      <c r="H19" s="148"/>
      <c r="I19" s="66">
        <v>0</v>
      </c>
      <c r="J19" s="1"/>
    </row>
    <row r="20" spans="1:10" ht="15" customHeight="1">
      <c r="A20" s="149" t="s">
        <v>737</v>
      </c>
      <c r="B20" s="150"/>
      <c r="C20" s="66">
        <f>SUM('Stavební rozpočet'!X12:X398)</f>
        <v>0</v>
      </c>
      <c r="D20" s="147"/>
      <c r="E20" s="148"/>
      <c r="F20" s="67"/>
      <c r="G20" s="147"/>
      <c r="H20" s="148"/>
      <c r="I20" s="67"/>
      <c r="J20" s="1"/>
    </row>
    <row r="21" spans="1:10" ht="15" customHeight="1">
      <c r="A21" s="149" t="s">
        <v>738</v>
      </c>
      <c r="B21" s="150"/>
      <c r="C21" s="66">
        <f>SUM('Stavební rozpočet'!P12:P398)</f>
        <v>0</v>
      </c>
      <c r="D21" s="147"/>
      <c r="E21" s="148"/>
      <c r="F21" s="67"/>
      <c r="G21" s="147"/>
      <c r="H21" s="148"/>
      <c r="I21" s="67"/>
      <c r="J21" s="1"/>
    </row>
    <row r="22" spans="1:10" ht="16.5" customHeight="1">
      <c r="A22" s="149" t="s">
        <v>739</v>
      </c>
      <c r="B22" s="150"/>
      <c r="C22" s="66">
        <f>ROUND(SUM(C14:C21),0)</f>
        <v>0</v>
      </c>
      <c r="D22" s="149" t="s">
        <v>754</v>
      </c>
      <c r="E22" s="150"/>
      <c r="F22" s="66">
        <f>SUM(F14:F21)</f>
        <v>0</v>
      </c>
      <c r="G22" s="149" t="s">
        <v>766</v>
      </c>
      <c r="H22" s="150"/>
      <c r="I22" s="66">
        <f>SUM(I14:I21)</f>
        <v>0</v>
      </c>
      <c r="J22" s="1"/>
    </row>
    <row r="23" spans="1:10" ht="15" customHeight="1">
      <c r="A23" s="9"/>
      <c r="B23" s="9"/>
      <c r="C23" s="37"/>
      <c r="D23" s="149" t="s">
        <v>755</v>
      </c>
      <c r="E23" s="150"/>
      <c r="F23" s="68">
        <v>0</v>
      </c>
      <c r="G23" s="149" t="s">
        <v>767</v>
      </c>
      <c r="H23" s="150"/>
      <c r="I23" s="66">
        <v>0</v>
      </c>
      <c r="J23" s="1"/>
    </row>
    <row r="24" spans="4:9" ht="15" customHeight="1">
      <c r="D24" s="9"/>
      <c r="E24" s="9"/>
      <c r="F24" s="69"/>
      <c r="G24" s="149" t="s">
        <v>768</v>
      </c>
      <c r="H24" s="150"/>
      <c r="I24" s="70"/>
    </row>
    <row r="25" spans="6:10" ht="15" customHeight="1">
      <c r="F25" s="38"/>
      <c r="G25" s="149" t="s">
        <v>769</v>
      </c>
      <c r="H25" s="150"/>
      <c r="I25" s="66">
        <v>0</v>
      </c>
      <c r="J25" s="1"/>
    </row>
    <row r="26" spans="1:9" ht="12.75">
      <c r="A26" s="8"/>
      <c r="B26" s="8"/>
      <c r="C26" s="8"/>
      <c r="G26" s="9"/>
      <c r="H26" s="9"/>
      <c r="I26" s="9"/>
    </row>
    <row r="27" spans="1:9" ht="15" customHeight="1">
      <c r="A27" s="151" t="s">
        <v>740</v>
      </c>
      <c r="B27" s="152"/>
      <c r="C27" s="71">
        <f>ROUND(SUM('Stavební rozpočet'!Z12:Z398),0)</f>
        <v>0</v>
      </c>
      <c r="D27" s="58"/>
      <c r="E27" s="8"/>
      <c r="F27" s="8"/>
      <c r="G27" s="8"/>
      <c r="H27" s="8"/>
      <c r="I27" s="8"/>
    </row>
    <row r="28" spans="1:10" ht="15" customHeight="1">
      <c r="A28" s="151" t="s">
        <v>741</v>
      </c>
      <c r="B28" s="152"/>
      <c r="C28" s="71">
        <f>ROUND(SUM('Stavební rozpočet'!AA12:AA398),0)</f>
        <v>0</v>
      </c>
      <c r="D28" s="151" t="s">
        <v>756</v>
      </c>
      <c r="E28" s="152"/>
      <c r="F28" s="71">
        <f>ROUND(C28*(15/100),2)</f>
        <v>0</v>
      </c>
      <c r="G28" s="151" t="s">
        <v>770</v>
      </c>
      <c r="H28" s="152"/>
      <c r="I28" s="71">
        <f>ROUND(SUM(C27:C29),0)</f>
        <v>0</v>
      </c>
      <c r="J28" s="1"/>
    </row>
    <row r="29" spans="1:10" ht="15" customHeight="1">
      <c r="A29" s="151" t="s">
        <v>742</v>
      </c>
      <c r="B29" s="152"/>
      <c r="C29" s="71">
        <f>ROUND(SUM('Stavební rozpočet'!AB12:AB398)+(F22+I22+F23+I23+I24+I25),0)</f>
        <v>0</v>
      </c>
      <c r="D29" s="151" t="s">
        <v>757</v>
      </c>
      <c r="E29" s="152"/>
      <c r="F29" s="71">
        <f>ROUND(C29*(21/100),2)</f>
        <v>0</v>
      </c>
      <c r="G29" s="151" t="s">
        <v>771</v>
      </c>
      <c r="H29" s="152"/>
      <c r="I29" s="71">
        <f>ROUND(SUM(F28:F29)+I28,0)</f>
        <v>0</v>
      </c>
      <c r="J29" s="1"/>
    </row>
    <row r="30" spans="1:9" ht="12.75">
      <c r="A30" s="62"/>
      <c r="B30" s="62"/>
      <c r="C30" s="62"/>
      <c r="D30" s="62"/>
      <c r="E30" s="62"/>
      <c r="F30" s="62"/>
      <c r="G30" s="62"/>
      <c r="H30" s="62"/>
      <c r="I30" s="62"/>
    </row>
    <row r="31" spans="1:10" ht="14.25" customHeight="1">
      <c r="A31" s="153" t="s">
        <v>743</v>
      </c>
      <c r="B31" s="154"/>
      <c r="C31" s="155"/>
      <c r="D31" s="153" t="s">
        <v>758</v>
      </c>
      <c r="E31" s="154"/>
      <c r="F31" s="155"/>
      <c r="G31" s="153" t="s">
        <v>772</v>
      </c>
      <c r="H31" s="154"/>
      <c r="I31" s="155"/>
      <c r="J31" s="43"/>
    </row>
    <row r="32" spans="1:10" ht="14.25" customHeight="1">
      <c r="A32" s="156"/>
      <c r="B32" s="157"/>
      <c r="C32" s="158"/>
      <c r="D32" s="156"/>
      <c r="E32" s="157"/>
      <c r="F32" s="158"/>
      <c r="G32" s="156"/>
      <c r="H32" s="157"/>
      <c r="I32" s="158"/>
      <c r="J32" s="43"/>
    </row>
    <row r="33" spans="1:10" ht="14.25" customHeight="1">
      <c r="A33" s="156"/>
      <c r="B33" s="157"/>
      <c r="C33" s="158"/>
      <c r="D33" s="156"/>
      <c r="E33" s="157"/>
      <c r="F33" s="158"/>
      <c r="G33" s="156"/>
      <c r="H33" s="157"/>
      <c r="I33" s="158"/>
      <c r="J33" s="43"/>
    </row>
    <row r="34" spans="1:10" ht="14.25" customHeight="1">
      <c r="A34" s="156"/>
      <c r="B34" s="157"/>
      <c r="C34" s="158"/>
      <c r="D34" s="156"/>
      <c r="E34" s="157"/>
      <c r="F34" s="158"/>
      <c r="G34" s="156"/>
      <c r="H34" s="157"/>
      <c r="I34" s="158"/>
      <c r="J34" s="43"/>
    </row>
    <row r="35" spans="1:10" ht="14.25" customHeight="1">
      <c r="A35" s="159" t="s">
        <v>744</v>
      </c>
      <c r="B35" s="160"/>
      <c r="C35" s="161"/>
      <c r="D35" s="159" t="s">
        <v>744</v>
      </c>
      <c r="E35" s="160"/>
      <c r="F35" s="161"/>
      <c r="G35" s="159" t="s">
        <v>744</v>
      </c>
      <c r="H35" s="160"/>
      <c r="I35" s="161"/>
      <c r="J35" s="43"/>
    </row>
    <row r="36" spans="1:9" ht="11.25" customHeight="1">
      <c r="A36" s="63" t="s">
        <v>142</v>
      </c>
      <c r="B36" s="65"/>
      <c r="C36" s="65"/>
      <c r="D36" s="65"/>
      <c r="E36" s="65"/>
      <c r="F36" s="65"/>
      <c r="G36" s="65"/>
      <c r="H36" s="65"/>
      <c r="I36" s="65"/>
    </row>
    <row r="37" spans="1:9" ht="346.5" customHeight="1">
      <c r="A37" s="136" t="s">
        <v>745</v>
      </c>
      <c r="B37" s="128"/>
      <c r="C37" s="128"/>
      <c r="D37" s="128"/>
      <c r="E37" s="128"/>
      <c r="F37" s="128"/>
      <c r="G37" s="128"/>
      <c r="H37" s="128"/>
      <c r="I37" s="128"/>
    </row>
  </sheetData>
  <sheetProtection sheet="1" objects="1" scenarios="1"/>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pane ySplit="10" topLeftCell="A11" activePane="bottomLeft" state="frozen"/>
      <selection pane="topLeft" activeCell="A1" sqref="A1"/>
      <selection pane="bottomLeft" activeCell="E26" sqref="E26"/>
    </sheetView>
  </sheetViews>
  <sheetFormatPr defaultColWidth="11.57421875" defaultRowHeight="12.75"/>
  <cols>
    <col min="1" max="2" width="16.57421875" style="0" customWidth="1"/>
    <col min="3" max="3" width="41.7109375" style="0" customWidth="1"/>
    <col min="4" max="4" width="22.140625" style="0" customWidth="1"/>
    <col min="5" max="5" width="21.00390625" style="0" customWidth="1"/>
    <col min="6" max="6" width="20.8515625" style="0" customWidth="1"/>
    <col min="7" max="7" width="19.7109375" style="0" customWidth="1"/>
    <col min="8" max="9" width="0" style="0" hidden="1" customWidth="1"/>
  </cols>
  <sheetData>
    <row r="1" spans="1:7" ht="72.75" customHeight="1">
      <c r="A1" s="162" t="s">
        <v>724</v>
      </c>
      <c r="B1" s="163"/>
      <c r="C1" s="163"/>
      <c r="D1" s="163"/>
      <c r="E1" s="163"/>
      <c r="F1" s="163"/>
      <c r="G1" s="163"/>
    </row>
    <row r="2" spans="1:8" ht="12.75">
      <c r="A2" s="125" t="s">
        <v>1</v>
      </c>
      <c r="B2" s="129" t="str">
        <f>'Stavební rozpočet'!D2</f>
        <v>Park Všestarka – přístupový chodník a úprava komunikace</v>
      </c>
      <c r="C2" s="130"/>
      <c r="D2" s="132" t="s">
        <v>646</v>
      </c>
      <c r="E2" s="132" t="str">
        <f>'Stavební rozpočet'!J2</f>
        <v>Obec Všestary</v>
      </c>
      <c r="F2" s="126"/>
      <c r="G2" s="164"/>
      <c r="H2" s="1"/>
    </row>
    <row r="3" spans="1:8" ht="12.75">
      <c r="A3" s="127"/>
      <c r="B3" s="131"/>
      <c r="C3" s="131"/>
      <c r="D3" s="128"/>
      <c r="E3" s="128"/>
      <c r="F3" s="128"/>
      <c r="G3" s="134"/>
      <c r="H3" s="1"/>
    </row>
    <row r="4" spans="1:8" ht="12.75">
      <c r="A4" s="135" t="s">
        <v>2</v>
      </c>
      <c r="B4" s="136" t="str">
        <f>'Stavební rozpočet'!D4</f>
        <v>Chodník, parkoviště</v>
      </c>
      <c r="C4" s="128"/>
      <c r="D4" s="136" t="s">
        <v>647</v>
      </c>
      <c r="E4" s="136" t="str">
        <f>'Stavební rozpočet'!J4</f>
        <v>Kamil Hronovský</v>
      </c>
      <c r="F4" s="128"/>
      <c r="G4" s="134"/>
      <c r="H4" s="1"/>
    </row>
    <row r="5" spans="1:8" ht="12.75">
      <c r="A5" s="127"/>
      <c r="B5" s="128"/>
      <c r="C5" s="128"/>
      <c r="D5" s="128"/>
      <c r="E5" s="128"/>
      <c r="F5" s="128"/>
      <c r="G5" s="134"/>
      <c r="H5" s="1"/>
    </row>
    <row r="6" spans="1:8" ht="12.75">
      <c r="A6" s="135" t="s">
        <v>3</v>
      </c>
      <c r="B6" s="136" t="str">
        <f>'Stavební rozpočet'!D6</f>
        <v>Park Všestarka – přístupový chodník a úprava komunikace</v>
      </c>
      <c r="C6" s="128"/>
      <c r="D6" s="136" t="s">
        <v>648</v>
      </c>
      <c r="E6" s="136" t="str">
        <f>'Stavební rozpočet'!J6</f>
        <v>Na základě výběrového řízení</v>
      </c>
      <c r="F6" s="128"/>
      <c r="G6" s="134"/>
      <c r="H6" s="1"/>
    </row>
    <row r="7" spans="1:8" ht="12.75">
      <c r="A7" s="127"/>
      <c r="B7" s="128"/>
      <c r="C7" s="128"/>
      <c r="D7" s="128"/>
      <c r="E7" s="128"/>
      <c r="F7" s="128"/>
      <c r="G7" s="134"/>
      <c r="H7" s="1"/>
    </row>
    <row r="8" spans="1:8" ht="12.75">
      <c r="A8" s="135" t="s">
        <v>649</v>
      </c>
      <c r="B8" s="136" t="str">
        <f>'Stavební rozpočet'!J8</f>
        <v>Ing. Theodor Collino</v>
      </c>
      <c r="C8" s="128"/>
      <c r="D8" s="138" t="s">
        <v>624</v>
      </c>
      <c r="E8" s="136" t="str">
        <f>'Stavební rozpočet'!G8</f>
        <v>05.02.2018</v>
      </c>
      <c r="F8" s="128"/>
      <c r="G8" s="134"/>
      <c r="H8" s="1"/>
    </row>
    <row r="9" spans="1:8" ht="12.75">
      <c r="A9" s="165"/>
      <c r="B9" s="166"/>
      <c r="C9" s="166"/>
      <c r="D9" s="166"/>
      <c r="E9" s="166"/>
      <c r="F9" s="166"/>
      <c r="G9" s="167"/>
      <c r="H9" s="1"/>
    </row>
    <row r="10" spans="1:8" ht="13.5">
      <c r="A10" s="49" t="s">
        <v>144</v>
      </c>
      <c r="B10" s="51" t="s">
        <v>146</v>
      </c>
      <c r="C10" s="52" t="s">
        <v>725</v>
      </c>
      <c r="D10" s="53" t="s">
        <v>726</v>
      </c>
      <c r="E10" s="53" t="s">
        <v>727</v>
      </c>
      <c r="F10" s="53" t="s">
        <v>728</v>
      </c>
      <c r="G10" s="55" t="s">
        <v>729</v>
      </c>
      <c r="H10" s="43"/>
    </row>
    <row r="11" spans="1:9" ht="12.75">
      <c r="A11" s="50" t="s">
        <v>145</v>
      </c>
      <c r="B11" s="50"/>
      <c r="C11" s="50" t="s">
        <v>297</v>
      </c>
      <c r="D11" s="56">
        <f>'Stavební rozpočet'!H12</f>
        <v>0</v>
      </c>
      <c r="E11" s="56">
        <f>'Stavební rozpočet'!I12</f>
        <v>0</v>
      </c>
      <c r="F11" s="56">
        <f aca="true" t="shared" si="0" ref="F11:F45">D11+E11</f>
        <v>0</v>
      </c>
      <c r="G11" s="56">
        <f>'Stavební rozpočet'!L12</f>
        <v>1060.7206382500003</v>
      </c>
      <c r="H11" s="44" t="s">
        <v>730</v>
      </c>
      <c r="I11" s="44">
        <f aca="true" t="shared" si="1" ref="I11:I45">IF(H11="F",0,F11)</f>
        <v>0</v>
      </c>
    </row>
    <row r="12" spans="1:9" ht="12.75">
      <c r="A12" s="20" t="s">
        <v>145</v>
      </c>
      <c r="B12" s="20" t="s">
        <v>890</v>
      </c>
      <c r="C12" s="20" t="s">
        <v>891</v>
      </c>
      <c r="D12" s="44">
        <f>'Stavební rozpočet'!H13</f>
        <v>0</v>
      </c>
      <c r="E12" s="44">
        <f>'Stavební rozpočet'!I13</f>
        <v>0</v>
      </c>
      <c r="F12" s="44">
        <f t="shared" si="0"/>
        <v>0</v>
      </c>
      <c r="G12" s="44">
        <f>'Stavební rozpočet'!L13</f>
        <v>0</v>
      </c>
      <c r="H12" s="44" t="s">
        <v>731</v>
      </c>
      <c r="I12" s="44">
        <f t="shared" si="1"/>
        <v>0</v>
      </c>
    </row>
    <row r="13" spans="1:9" ht="12.75">
      <c r="A13" s="20" t="s">
        <v>145</v>
      </c>
      <c r="B13" s="20" t="s">
        <v>17</v>
      </c>
      <c r="C13" s="20" t="s">
        <v>300</v>
      </c>
      <c r="D13" s="44">
        <f>'Stavební rozpočet'!H15</f>
        <v>0</v>
      </c>
      <c r="E13" s="44">
        <f>'Stavební rozpočet'!I15</f>
        <v>0</v>
      </c>
      <c r="F13" s="44">
        <f t="shared" si="0"/>
        <v>0</v>
      </c>
      <c r="G13" s="44">
        <f>'Stavební rozpočet'!L15</f>
        <v>14.2561</v>
      </c>
      <c r="H13" s="44" t="s">
        <v>731</v>
      </c>
      <c r="I13" s="44">
        <f t="shared" si="1"/>
        <v>0</v>
      </c>
    </row>
    <row r="14" spans="1:9" ht="12.75">
      <c r="A14" s="20" t="s">
        <v>145</v>
      </c>
      <c r="B14" s="20" t="s">
        <v>18</v>
      </c>
      <c r="C14" s="20" t="s">
        <v>341</v>
      </c>
      <c r="D14" s="44">
        <f>'Stavební rozpočet'!H58</f>
        <v>0</v>
      </c>
      <c r="E14" s="44">
        <f>'Stavební rozpočet'!I58</f>
        <v>0</v>
      </c>
      <c r="F14" s="44">
        <f t="shared" si="0"/>
        <v>0</v>
      </c>
      <c r="G14" s="44">
        <f>'Stavební rozpočet'!L58</f>
        <v>0</v>
      </c>
      <c r="H14" s="44" t="s">
        <v>731</v>
      </c>
      <c r="I14" s="44">
        <f t="shared" si="1"/>
        <v>0</v>
      </c>
    </row>
    <row r="15" spans="1:9" ht="12.75">
      <c r="A15" s="20" t="s">
        <v>145</v>
      </c>
      <c r="B15" s="20" t="s">
        <v>19</v>
      </c>
      <c r="C15" s="20" t="s">
        <v>355</v>
      </c>
      <c r="D15" s="44">
        <f>'Stavební rozpočet'!H73</f>
        <v>0</v>
      </c>
      <c r="E15" s="44">
        <f>'Stavební rozpočet'!I73</f>
        <v>0</v>
      </c>
      <c r="F15" s="44">
        <f t="shared" si="0"/>
        <v>0</v>
      </c>
      <c r="G15" s="44">
        <f>'Stavební rozpočet'!L73</f>
        <v>0</v>
      </c>
      <c r="H15" s="44" t="s">
        <v>731</v>
      </c>
      <c r="I15" s="44">
        <f t="shared" si="1"/>
        <v>0</v>
      </c>
    </row>
    <row r="16" spans="1:9" ht="12.75">
      <c r="A16" s="20" t="s">
        <v>145</v>
      </c>
      <c r="B16" s="20" t="s">
        <v>22</v>
      </c>
      <c r="C16" s="20" t="s">
        <v>366</v>
      </c>
      <c r="D16" s="44">
        <f>'Stavební rozpočet'!H84</f>
        <v>0</v>
      </c>
      <c r="E16" s="44">
        <f>'Stavební rozpočet'!I84</f>
        <v>0</v>
      </c>
      <c r="F16" s="44">
        <f t="shared" si="0"/>
        <v>0</v>
      </c>
      <c r="G16" s="44">
        <f>'Stavební rozpočet'!L84</f>
        <v>0</v>
      </c>
      <c r="H16" s="44" t="s">
        <v>731</v>
      </c>
      <c r="I16" s="44">
        <f t="shared" si="1"/>
        <v>0</v>
      </c>
    </row>
    <row r="17" spans="1:9" ht="12.75">
      <c r="A17" s="20" t="s">
        <v>145</v>
      </c>
      <c r="B17" s="20" t="s">
        <v>23</v>
      </c>
      <c r="C17" s="20" t="s">
        <v>383</v>
      </c>
      <c r="D17" s="44">
        <f>'Stavební rozpočet'!H113</f>
        <v>0</v>
      </c>
      <c r="E17" s="44">
        <f>'Stavební rozpočet'!I113</f>
        <v>0</v>
      </c>
      <c r="F17" s="44">
        <f t="shared" si="0"/>
        <v>0</v>
      </c>
      <c r="G17" s="44">
        <f>'Stavební rozpočet'!L113</f>
        <v>115.553</v>
      </c>
      <c r="H17" s="44" t="s">
        <v>731</v>
      </c>
      <c r="I17" s="44">
        <f t="shared" si="1"/>
        <v>0</v>
      </c>
    </row>
    <row r="18" spans="1:9" ht="12.75">
      <c r="A18" s="20" t="s">
        <v>145</v>
      </c>
      <c r="B18" s="20" t="s">
        <v>24</v>
      </c>
      <c r="C18" s="20" t="s">
        <v>398</v>
      </c>
      <c r="D18" s="44">
        <f>'Stavební rozpočet'!H128</f>
        <v>0</v>
      </c>
      <c r="E18" s="44">
        <f>'Stavební rozpočet'!I128</f>
        <v>0</v>
      </c>
      <c r="F18" s="44">
        <f t="shared" si="0"/>
        <v>0</v>
      </c>
      <c r="G18" s="44">
        <f>'Stavební rozpočet'!L128</f>
        <v>0.0104</v>
      </c>
      <c r="H18" s="44" t="s">
        <v>731</v>
      </c>
      <c r="I18" s="44">
        <f t="shared" si="1"/>
        <v>0</v>
      </c>
    </row>
    <row r="19" spans="1:9" ht="12.75">
      <c r="A19" s="20" t="s">
        <v>145</v>
      </c>
      <c r="B19" s="20" t="s">
        <v>25</v>
      </c>
      <c r="C19" s="20" t="s">
        <v>418</v>
      </c>
      <c r="D19" s="44">
        <f>'Stavební rozpočet'!H153</f>
        <v>0</v>
      </c>
      <c r="E19" s="44">
        <f>'Stavební rozpočet'!I153</f>
        <v>0</v>
      </c>
      <c r="F19" s="44">
        <f t="shared" si="0"/>
        <v>0</v>
      </c>
      <c r="G19" s="44">
        <f>'Stavební rozpočet'!L153</f>
        <v>0</v>
      </c>
      <c r="H19" s="44" t="s">
        <v>731</v>
      </c>
      <c r="I19" s="44">
        <f t="shared" si="1"/>
        <v>0</v>
      </c>
    </row>
    <row r="20" spans="1:9" ht="12.75">
      <c r="A20" s="20" t="s">
        <v>145</v>
      </c>
      <c r="B20" s="20" t="s">
        <v>27</v>
      </c>
      <c r="C20" s="20" t="s">
        <v>423</v>
      </c>
      <c r="D20" s="44">
        <f>'Stavební rozpočet'!H165</f>
        <v>0</v>
      </c>
      <c r="E20" s="44">
        <f>'Stavební rozpočet'!I165</f>
        <v>0</v>
      </c>
      <c r="F20" s="44">
        <f t="shared" si="0"/>
        <v>0</v>
      </c>
      <c r="G20" s="44">
        <f>'Stavební rozpočet'!L165</f>
        <v>28.25273</v>
      </c>
      <c r="H20" s="44" t="s">
        <v>731</v>
      </c>
      <c r="I20" s="44">
        <f t="shared" si="1"/>
        <v>0</v>
      </c>
    </row>
    <row r="21" spans="1:9" ht="12.75">
      <c r="A21" s="20" t="s">
        <v>145</v>
      </c>
      <c r="B21" s="20" t="s">
        <v>33</v>
      </c>
      <c r="C21" s="20" t="s">
        <v>433</v>
      </c>
      <c r="D21" s="44">
        <f>'Stavební rozpočet'!H176</f>
        <v>0</v>
      </c>
      <c r="E21" s="44">
        <f>'Stavební rozpočet'!I176</f>
        <v>0</v>
      </c>
      <c r="F21" s="44">
        <f t="shared" si="0"/>
        <v>0</v>
      </c>
      <c r="G21" s="44">
        <f>'Stavební rozpočet'!L176</f>
        <v>7.679556000000001</v>
      </c>
      <c r="H21" s="44" t="s">
        <v>731</v>
      </c>
      <c r="I21" s="44">
        <f t="shared" si="1"/>
        <v>0</v>
      </c>
    </row>
    <row r="22" spans="1:9" ht="12.75">
      <c r="A22" s="20" t="s">
        <v>145</v>
      </c>
      <c r="B22" s="20" t="s">
        <v>37</v>
      </c>
      <c r="C22" s="20" t="s">
        <v>437</v>
      </c>
      <c r="D22" s="44">
        <f>'Stavební rozpočet'!H180</f>
        <v>0</v>
      </c>
      <c r="E22" s="44">
        <f>'Stavební rozpočet'!I180</f>
        <v>0</v>
      </c>
      <c r="F22" s="44">
        <f t="shared" si="0"/>
        <v>0</v>
      </c>
      <c r="G22" s="44">
        <f>'Stavební rozpočet'!L180</f>
        <v>14.849523999999999</v>
      </c>
      <c r="H22" s="44" t="s">
        <v>731</v>
      </c>
      <c r="I22" s="44">
        <f t="shared" si="1"/>
        <v>0</v>
      </c>
    </row>
    <row r="23" spans="1:9" ht="12.75">
      <c r="A23" s="20" t="s">
        <v>145</v>
      </c>
      <c r="B23" s="20" t="s">
        <v>51</v>
      </c>
      <c r="C23" s="20" t="s">
        <v>444</v>
      </c>
      <c r="D23" s="44">
        <f>'Stavební rozpočet'!H188</f>
        <v>0</v>
      </c>
      <c r="E23" s="44">
        <f>'Stavební rozpočet'!I188</f>
        <v>0</v>
      </c>
      <c r="F23" s="44">
        <f t="shared" si="0"/>
        <v>0</v>
      </c>
      <c r="G23" s="44">
        <f>'Stavební rozpočet'!L188</f>
        <v>8.28828</v>
      </c>
      <c r="H23" s="44" t="s">
        <v>731</v>
      </c>
      <c r="I23" s="44">
        <f t="shared" si="1"/>
        <v>0</v>
      </c>
    </row>
    <row r="24" spans="1:9" ht="12.75">
      <c r="A24" s="20" t="s">
        <v>145</v>
      </c>
      <c r="B24" s="20" t="s">
        <v>206</v>
      </c>
      <c r="C24" s="20" t="s">
        <v>446</v>
      </c>
      <c r="D24" s="44">
        <f>'Stavební rozpočet'!H191</f>
        <v>0</v>
      </c>
      <c r="E24" s="44">
        <f>'Stavební rozpočet'!I191</f>
        <v>0</v>
      </c>
      <c r="F24" s="44">
        <f t="shared" si="0"/>
        <v>0</v>
      </c>
      <c r="G24" s="44">
        <f>'Stavební rozpočet'!L191</f>
        <v>0</v>
      </c>
      <c r="H24" s="44" t="s">
        <v>731</v>
      </c>
      <c r="I24" s="44">
        <f t="shared" si="1"/>
        <v>0</v>
      </c>
    </row>
    <row r="25" spans="1:9" ht="12.75">
      <c r="A25" s="20" t="s">
        <v>145</v>
      </c>
      <c r="B25" s="20" t="s">
        <v>62</v>
      </c>
      <c r="C25" s="20" t="s">
        <v>449</v>
      </c>
      <c r="D25" s="44">
        <f>'Stavební rozpočet'!H195</f>
        <v>0</v>
      </c>
      <c r="E25" s="44">
        <f>'Stavební rozpočet'!I195</f>
        <v>0</v>
      </c>
      <c r="F25" s="44">
        <f t="shared" si="0"/>
        <v>0</v>
      </c>
      <c r="G25" s="44">
        <f>'Stavební rozpočet'!L195</f>
        <v>641.5805674999999</v>
      </c>
      <c r="H25" s="44" t="s">
        <v>731</v>
      </c>
      <c r="I25" s="44">
        <f t="shared" si="1"/>
        <v>0</v>
      </c>
    </row>
    <row r="26" spans="1:9" ht="12.75">
      <c r="A26" s="20" t="s">
        <v>145</v>
      </c>
      <c r="B26" s="20" t="s">
        <v>63</v>
      </c>
      <c r="C26" s="20" t="s">
        <v>459</v>
      </c>
      <c r="D26" s="44">
        <f>'Stavební rozpočet'!H208</f>
        <v>0</v>
      </c>
      <c r="E26" s="44">
        <f>'Stavební rozpočet'!I208</f>
        <v>0</v>
      </c>
      <c r="F26" s="44">
        <f t="shared" si="0"/>
        <v>0</v>
      </c>
      <c r="G26" s="44">
        <f>'Stavební rozpočet'!L208</f>
        <v>32.14958</v>
      </c>
      <c r="H26" s="44" t="s">
        <v>731</v>
      </c>
      <c r="I26" s="44">
        <f t="shared" si="1"/>
        <v>0</v>
      </c>
    </row>
    <row r="27" spans="1:9" ht="12.75">
      <c r="A27" s="20" t="s">
        <v>145</v>
      </c>
      <c r="B27" s="20" t="s">
        <v>65</v>
      </c>
      <c r="C27" s="20" t="s">
        <v>467</v>
      </c>
      <c r="D27" s="44">
        <f>'Stavební rozpočet'!H216</f>
        <v>0</v>
      </c>
      <c r="E27" s="44">
        <f>'Stavební rozpočet'!I216</f>
        <v>0</v>
      </c>
      <c r="F27" s="44">
        <f t="shared" si="0"/>
        <v>0</v>
      </c>
      <c r="G27" s="44">
        <f>'Stavební rozpočet'!L216</f>
        <v>73.2392042</v>
      </c>
      <c r="H27" s="44" t="s">
        <v>731</v>
      </c>
      <c r="I27" s="44">
        <f t="shared" si="1"/>
        <v>0</v>
      </c>
    </row>
    <row r="28" spans="1:9" ht="12.75">
      <c r="A28" s="20" t="s">
        <v>145</v>
      </c>
      <c r="B28" s="20" t="s">
        <v>227</v>
      </c>
      <c r="C28" s="20" t="s">
        <v>496</v>
      </c>
      <c r="D28" s="44">
        <f>'Stavební rozpočet'!H248</f>
        <v>0</v>
      </c>
      <c r="E28" s="44">
        <f>'Stavební rozpočet'!I248</f>
        <v>0</v>
      </c>
      <c r="F28" s="44">
        <f t="shared" si="0"/>
        <v>0</v>
      </c>
      <c r="G28" s="44">
        <f>'Stavební rozpočet'!L248</f>
        <v>0.6866510000000001</v>
      </c>
      <c r="H28" s="44" t="s">
        <v>731</v>
      </c>
      <c r="I28" s="44">
        <f t="shared" si="1"/>
        <v>0</v>
      </c>
    </row>
    <row r="29" spans="1:9" ht="12.75">
      <c r="A29" s="20" t="s">
        <v>145</v>
      </c>
      <c r="B29" s="20" t="s">
        <v>229</v>
      </c>
      <c r="C29" s="20" t="s">
        <v>500</v>
      </c>
      <c r="D29" s="44">
        <f>'Stavební rozpočet'!H252</f>
        <v>0</v>
      </c>
      <c r="E29" s="44">
        <f>'Stavební rozpočet'!I252</f>
        <v>0</v>
      </c>
      <c r="F29" s="44">
        <f t="shared" si="0"/>
        <v>0</v>
      </c>
      <c r="G29" s="44">
        <f>'Stavební rozpočet'!L252</f>
        <v>0.089475</v>
      </c>
      <c r="H29" s="44" t="s">
        <v>731</v>
      </c>
      <c r="I29" s="44">
        <f t="shared" si="1"/>
        <v>0</v>
      </c>
    </row>
    <row r="30" spans="1:9" ht="12.75">
      <c r="A30" s="20" t="s">
        <v>145</v>
      </c>
      <c r="B30" s="20" t="s">
        <v>93</v>
      </c>
      <c r="C30" s="20" t="s">
        <v>503</v>
      </c>
      <c r="D30" s="44">
        <f>'Stavební rozpočet'!H255</f>
        <v>0</v>
      </c>
      <c r="E30" s="44">
        <f>'Stavební rozpočet'!I255</f>
        <v>0</v>
      </c>
      <c r="F30" s="44">
        <f t="shared" si="0"/>
        <v>0</v>
      </c>
      <c r="G30" s="44">
        <f>'Stavební rozpočet'!L255</f>
        <v>0.2223589</v>
      </c>
      <c r="H30" s="44" t="s">
        <v>731</v>
      </c>
      <c r="I30" s="44">
        <f t="shared" si="1"/>
        <v>0</v>
      </c>
    </row>
    <row r="31" spans="1:9" ht="12.75">
      <c r="A31" s="20" t="s">
        <v>145</v>
      </c>
      <c r="B31" s="20" t="s">
        <v>95</v>
      </c>
      <c r="C31" s="20" t="s">
        <v>512</v>
      </c>
      <c r="D31" s="44">
        <f>'Stavební rozpočet'!H270</f>
        <v>0</v>
      </c>
      <c r="E31" s="44">
        <f>'Stavební rozpočet'!I270</f>
        <v>0</v>
      </c>
      <c r="F31" s="44">
        <f t="shared" si="0"/>
        <v>0</v>
      </c>
      <c r="G31" s="44">
        <f>'Stavební rozpočet'!L270</f>
        <v>2.54095</v>
      </c>
      <c r="H31" s="44" t="s">
        <v>731</v>
      </c>
      <c r="I31" s="44">
        <f t="shared" si="1"/>
        <v>0</v>
      </c>
    </row>
    <row r="32" spans="1:9" ht="12.75">
      <c r="A32" s="20" t="s">
        <v>145</v>
      </c>
      <c r="B32" s="20" t="s">
        <v>243</v>
      </c>
      <c r="C32" s="20" t="s">
        <v>524</v>
      </c>
      <c r="D32" s="44">
        <f>'Stavební rozpočet'!H283</f>
        <v>0</v>
      </c>
      <c r="E32" s="44">
        <f>'Stavební rozpočet'!I283</f>
        <v>0</v>
      </c>
      <c r="F32" s="44">
        <f t="shared" si="0"/>
        <v>0</v>
      </c>
      <c r="G32" s="44">
        <f>'Stavební rozpočet'!L283</f>
        <v>0.28500000000000003</v>
      </c>
      <c r="H32" s="44" t="s">
        <v>731</v>
      </c>
      <c r="I32" s="44">
        <f t="shared" si="1"/>
        <v>0</v>
      </c>
    </row>
    <row r="33" spans="1:9" ht="12.75">
      <c r="A33" s="20" t="s">
        <v>145</v>
      </c>
      <c r="B33" s="20" t="s">
        <v>96</v>
      </c>
      <c r="C33" s="20" t="s">
        <v>528</v>
      </c>
      <c r="D33" s="44">
        <f>'Stavební rozpočet'!H288</f>
        <v>0</v>
      </c>
      <c r="E33" s="44">
        <f>'Stavební rozpočet'!I288</f>
        <v>0</v>
      </c>
      <c r="F33" s="44">
        <f t="shared" si="0"/>
        <v>0</v>
      </c>
      <c r="G33" s="44">
        <f>'Stavební rozpočet'!L288</f>
        <v>7.0478103999999995</v>
      </c>
      <c r="H33" s="44" t="s">
        <v>731</v>
      </c>
      <c r="I33" s="44">
        <f t="shared" si="1"/>
        <v>0</v>
      </c>
    </row>
    <row r="34" spans="1:9" ht="12.75">
      <c r="A34" s="20" t="s">
        <v>145</v>
      </c>
      <c r="B34" s="20" t="s">
        <v>97</v>
      </c>
      <c r="C34" s="20" t="s">
        <v>537</v>
      </c>
      <c r="D34" s="44">
        <f>'Stavební rozpočet'!H297</f>
        <v>0</v>
      </c>
      <c r="E34" s="44">
        <f>'Stavební rozpočet'!I297</f>
        <v>0</v>
      </c>
      <c r="F34" s="44">
        <f t="shared" si="0"/>
        <v>0</v>
      </c>
      <c r="G34" s="44">
        <f>'Stavební rozpočet'!L297</f>
        <v>92.430106</v>
      </c>
      <c r="H34" s="44" t="s">
        <v>731</v>
      </c>
      <c r="I34" s="44">
        <f t="shared" si="1"/>
        <v>0</v>
      </c>
    </row>
    <row r="35" spans="1:9" ht="12.75">
      <c r="A35" s="20" t="s">
        <v>145</v>
      </c>
      <c r="B35" s="20" t="s">
        <v>260</v>
      </c>
      <c r="C35" s="20" t="s">
        <v>563</v>
      </c>
      <c r="D35" s="44">
        <f>'Stavební rozpočet'!H327</f>
        <v>0</v>
      </c>
      <c r="E35" s="44">
        <f>'Stavební rozpočet'!I327</f>
        <v>0</v>
      </c>
      <c r="F35" s="44">
        <f t="shared" si="0"/>
        <v>0</v>
      </c>
      <c r="G35" s="44">
        <f>'Stavební rozpočet'!L327</f>
        <v>0.2551</v>
      </c>
      <c r="H35" s="44" t="s">
        <v>731</v>
      </c>
      <c r="I35" s="44">
        <f t="shared" si="1"/>
        <v>0</v>
      </c>
    </row>
    <row r="36" spans="1:9" ht="12.75">
      <c r="A36" s="20" t="s">
        <v>145</v>
      </c>
      <c r="B36" s="20" t="s">
        <v>265</v>
      </c>
      <c r="C36" s="20" t="s">
        <v>576</v>
      </c>
      <c r="D36" s="44">
        <f>'Stavební rozpočet'!H342</f>
        <v>0</v>
      </c>
      <c r="E36" s="44">
        <f>'Stavební rozpočet'!I342</f>
        <v>0</v>
      </c>
      <c r="F36" s="44">
        <f t="shared" si="0"/>
        <v>0</v>
      </c>
      <c r="G36" s="44">
        <f>'Stavební rozpočet'!L342</f>
        <v>0</v>
      </c>
      <c r="H36" s="44" t="s">
        <v>731</v>
      </c>
      <c r="I36" s="44">
        <f t="shared" si="1"/>
        <v>0</v>
      </c>
    </row>
    <row r="37" spans="1:9" ht="12.75">
      <c r="A37" s="20" t="s">
        <v>145</v>
      </c>
      <c r="B37" s="20" t="s">
        <v>267</v>
      </c>
      <c r="C37" s="20" t="s">
        <v>579</v>
      </c>
      <c r="D37" s="44">
        <f>'Stavební rozpočet'!H345</f>
        <v>0</v>
      </c>
      <c r="E37" s="44">
        <f>'Stavební rozpočet'!I345</f>
        <v>0</v>
      </c>
      <c r="F37" s="44">
        <f t="shared" si="0"/>
        <v>0</v>
      </c>
      <c r="G37" s="44">
        <f>'Stavební rozpočet'!L345</f>
        <v>0</v>
      </c>
      <c r="H37" s="44" t="s">
        <v>731</v>
      </c>
      <c r="I37" s="44">
        <f t="shared" si="1"/>
        <v>0</v>
      </c>
    </row>
    <row r="38" spans="1:9" ht="12.75">
      <c r="A38" s="20" t="s">
        <v>145</v>
      </c>
      <c r="B38" s="20" t="s">
        <v>99</v>
      </c>
      <c r="C38" s="20" t="s">
        <v>581</v>
      </c>
      <c r="D38" s="44">
        <f>'Stavební rozpočet'!H348</f>
        <v>0</v>
      </c>
      <c r="E38" s="44">
        <f>'Stavební rozpočet'!I348</f>
        <v>0</v>
      </c>
      <c r="F38" s="44">
        <f t="shared" si="0"/>
        <v>0</v>
      </c>
      <c r="G38" s="44">
        <f>'Stavební rozpočet'!L348</f>
        <v>17.583675</v>
      </c>
      <c r="H38" s="44" t="s">
        <v>731</v>
      </c>
      <c r="I38" s="44">
        <f t="shared" si="1"/>
        <v>0</v>
      </c>
    </row>
    <row r="39" spans="1:9" ht="12.75">
      <c r="A39" s="20" t="s">
        <v>145</v>
      </c>
      <c r="B39" s="20" t="s">
        <v>271</v>
      </c>
      <c r="C39" s="20" t="s">
        <v>585</v>
      </c>
      <c r="D39" s="44">
        <f>'Stavební rozpočet'!H353</f>
        <v>0</v>
      </c>
      <c r="E39" s="44">
        <f>'Stavební rozpočet'!I353</f>
        <v>0</v>
      </c>
      <c r="F39" s="44">
        <f t="shared" si="0"/>
        <v>0</v>
      </c>
      <c r="G39" s="44">
        <f>'Stavební rozpočet'!L353</f>
        <v>0.15</v>
      </c>
      <c r="H39" s="44" t="s">
        <v>731</v>
      </c>
      <c r="I39" s="44">
        <f t="shared" si="1"/>
        <v>0</v>
      </c>
    </row>
    <row r="40" spans="1:9" ht="12.75">
      <c r="A40" s="20" t="s">
        <v>145</v>
      </c>
      <c r="B40" s="20" t="s">
        <v>104</v>
      </c>
      <c r="C40" s="20" t="s">
        <v>588</v>
      </c>
      <c r="D40" s="44">
        <f>'Stavební rozpočet'!H357</f>
        <v>0</v>
      </c>
      <c r="E40" s="44">
        <f>'Stavební rozpočet'!I357</f>
        <v>0</v>
      </c>
      <c r="F40" s="44">
        <f t="shared" si="0"/>
        <v>0</v>
      </c>
      <c r="G40" s="44">
        <f>'Stavební rozpočet'!L357</f>
        <v>0.010764</v>
      </c>
      <c r="H40" s="44" t="s">
        <v>731</v>
      </c>
      <c r="I40" s="44">
        <f t="shared" si="1"/>
        <v>0</v>
      </c>
    </row>
    <row r="41" spans="1:9" ht="12.75">
      <c r="A41" s="20" t="s">
        <v>145</v>
      </c>
      <c r="B41" s="20" t="s">
        <v>274</v>
      </c>
      <c r="C41" s="20" t="s">
        <v>591</v>
      </c>
      <c r="D41" s="44">
        <f>'Stavební rozpočet'!H360</f>
        <v>0</v>
      </c>
      <c r="E41" s="44">
        <f>'Stavební rozpočet'!I360</f>
        <v>0</v>
      </c>
      <c r="F41" s="44">
        <f t="shared" si="0"/>
        <v>0</v>
      </c>
      <c r="G41" s="44">
        <f>'Stavební rozpočet'!L360</f>
        <v>0</v>
      </c>
      <c r="H41" s="44" t="s">
        <v>731</v>
      </c>
      <c r="I41" s="44">
        <f t="shared" si="1"/>
        <v>0</v>
      </c>
    </row>
    <row r="42" spans="1:9" ht="12.75">
      <c r="A42" s="20" t="s">
        <v>145</v>
      </c>
      <c r="B42" s="20" t="s">
        <v>276</v>
      </c>
      <c r="C42" s="20" t="s">
        <v>597</v>
      </c>
      <c r="D42" s="44">
        <f>'Stavební rozpočet'!H366</f>
        <v>0</v>
      </c>
      <c r="E42" s="44">
        <f>'Stavební rozpočet'!I366</f>
        <v>0</v>
      </c>
      <c r="F42" s="44">
        <f t="shared" si="0"/>
        <v>0</v>
      </c>
      <c r="G42" s="44">
        <f>'Stavební rozpočet'!L366</f>
        <v>0</v>
      </c>
      <c r="H42" s="44" t="s">
        <v>731</v>
      </c>
      <c r="I42" s="44">
        <f t="shared" si="1"/>
        <v>0</v>
      </c>
    </row>
    <row r="43" spans="1:9" ht="12.75">
      <c r="A43" s="20" t="s">
        <v>145</v>
      </c>
      <c r="B43" s="20" t="s">
        <v>278</v>
      </c>
      <c r="C43" s="20" t="s">
        <v>601</v>
      </c>
      <c r="D43" s="44">
        <f>'Stavební rozpočet'!H370</f>
        <v>0</v>
      </c>
      <c r="E43" s="44">
        <f>'Stavební rozpočet'!I370</f>
        <v>0</v>
      </c>
      <c r="F43" s="44">
        <f t="shared" si="0"/>
        <v>0</v>
      </c>
      <c r="G43" s="44">
        <f>'Stavební rozpočet'!L370</f>
        <v>0</v>
      </c>
      <c r="H43" s="44" t="s">
        <v>731</v>
      </c>
      <c r="I43" s="44">
        <f t="shared" si="1"/>
        <v>0</v>
      </c>
    </row>
    <row r="44" spans="1:9" ht="12.75">
      <c r="A44" s="20" t="s">
        <v>145</v>
      </c>
      <c r="B44" s="20" t="s">
        <v>288</v>
      </c>
      <c r="C44" s="20" t="s">
        <v>614</v>
      </c>
      <c r="D44" s="44">
        <f>'Stavební rozpočet'!H391</f>
        <v>0</v>
      </c>
      <c r="E44" s="44">
        <f>'Stavební rozpočet'!I391</f>
        <v>0</v>
      </c>
      <c r="F44" s="44">
        <f t="shared" si="0"/>
        <v>0</v>
      </c>
      <c r="G44" s="44">
        <f>'Stavební rozpočet'!L391</f>
        <v>0.02480625</v>
      </c>
      <c r="H44" s="44" t="s">
        <v>731</v>
      </c>
      <c r="I44" s="44">
        <f t="shared" si="1"/>
        <v>0</v>
      </c>
    </row>
    <row r="45" spans="1:9" ht="12.75">
      <c r="A45" s="20" t="s">
        <v>145</v>
      </c>
      <c r="B45" s="20" t="s">
        <v>291</v>
      </c>
      <c r="C45" s="20" t="s">
        <v>619</v>
      </c>
      <c r="D45" s="44">
        <f>'Stavební rozpočet'!H396</f>
        <v>0</v>
      </c>
      <c r="E45" s="44">
        <f>'Stavební rozpočet'!I396</f>
        <v>0</v>
      </c>
      <c r="F45" s="44">
        <f t="shared" si="0"/>
        <v>0</v>
      </c>
      <c r="G45" s="44">
        <f>'Stavební rozpočet'!L396</f>
        <v>3.5349999999999997</v>
      </c>
      <c r="H45" s="44" t="s">
        <v>731</v>
      </c>
      <c r="I45" s="44">
        <f t="shared" si="1"/>
        <v>0</v>
      </c>
    </row>
    <row r="47" spans="5:6" ht="13.5">
      <c r="E47" s="54" t="s">
        <v>645</v>
      </c>
      <c r="F47" s="57">
        <f>ROUND(SUM(I11:I45),0)</f>
        <v>0</v>
      </c>
    </row>
  </sheetData>
  <sheetProtection sheet="1" objects="1" scenarios="1"/>
  <mergeCells count="17">
    <mergeCell ref="A6:A7"/>
    <mergeCell ref="B6:C7"/>
    <mergeCell ref="D6:D7"/>
    <mergeCell ref="E6:G7"/>
    <mergeCell ref="A8:A9"/>
    <mergeCell ref="B8:C9"/>
    <mergeCell ref="D8:D9"/>
    <mergeCell ref="E8:G9"/>
    <mergeCell ref="A1:G1"/>
    <mergeCell ref="A2:A3"/>
    <mergeCell ref="B2:C3"/>
    <mergeCell ref="D2:D3"/>
    <mergeCell ref="E2:G3"/>
    <mergeCell ref="A4:A5"/>
    <mergeCell ref="B4:C5"/>
    <mergeCell ref="D4:D5"/>
    <mergeCell ref="E4:G5"/>
  </mergeCells>
  <printOptions/>
  <pageMargins left="0.394" right="0.394" top="0.591" bottom="0.591" header="0.5" footer="0.5"/>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V401"/>
  <sheetViews>
    <sheetView zoomScalePageLayoutView="0" workbookViewId="0" topLeftCell="A1">
      <pane ySplit="11" topLeftCell="A12" activePane="bottomLeft" state="frozen"/>
      <selection pane="topLeft" activeCell="A1" sqref="A1"/>
      <selection pane="bottomLeft" activeCell="G14" sqref="G14"/>
    </sheetView>
  </sheetViews>
  <sheetFormatPr defaultColWidth="11.57421875" defaultRowHeight="12.75"/>
  <cols>
    <col min="1" max="1" width="3.7109375" style="0" customWidth="1"/>
    <col min="2" max="2" width="7.140625" style="0" customWidth="1"/>
    <col min="3" max="3" width="13.28125" style="0" customWidth="1"/>
    <col min="4" max="4" width="86.140625" style="0" customWidth="1"/>
    <col min="5" max="5" width="6.00390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8" width="12.140625" style="0" hidden="1" customWidth="1"/>
  </cols>
  <sheetData>
    <row r="1" spans="1:13" ht="72.75" customHeight="1">
      <c r="A1" s="162" t="s">
        <v>0</v>
      </c>
      <c r="B1" s="163"/>
      <c r="C1" s="163"/>
      <c r="D1" s="163"/>
      <c r="E1" s="163"/>
      <c r="F1" s="163"/>
      <c r="G1" s="163"/>
      <c r="H1" s="163"/>
      <c r="I1" s="163"/>
      <c r="J1" s="163"/>
      <c r="K1" s="163"/>
      <c r="L1" s="163"/>
      <c r="M1" s="163"/>
    </row>
    <row r="2" spans="1:14" ht="12.75">
      <c r="A2" s="125" t="s">
        <v>1</v>
      </c>
      <c r="B2" s="126"/>
      <c r="C2" s="126"/>
      <c r="D2" s="129" t="s">
        <v>293</v>
      </c>
      <c r="E2" s="168" t="s">
        <v>621</v>
      </c>
      <c r="F2" s="126"/>
      <c r="G2" s="169" t="s">
        <v>6</v>
      </c>
      <c r="H2" s="170"/>
      <c r="I2" s="132" t="s">
        <v>646</v>
      </c>
      <c r="J2" s="132" t="s">
        <v>651</v>
      </c>
      <c r="K2" s="126"/>
      <c r="L2" s="126"/>
      <c r="M2" s="164"/>
      <c r="N2" s="1"/>
    </row>
    <row r="3" spans="1:14" ht="12.75">
      <c r="A3" s="127"/>
      <c r="B3" s="128"/>
      <c r="C3" s="128"/>
      <c r="D3" s="131"/>
      <c r="E3" s="128"/>
      <c r="F3" s="128"/>
      <c r="G3" s="171"/>
      <c r="H3" s="171"/>
      <c r="I3" s="128"/>
      <c r="J3" s="128"/>
      <c r="K3" s="128"/>
      <c r="L3" s="128"/>
      <c r="M3" s="134"/>
      <c r="N3" s="1"/>
    </row>
    <row r="4" spans="1:14" ht="12.75">
      <c r="A4" s="135" t="s">
        <v>2</v>
      </c>
      <c r="B4" s="128"/>
      <c r="C4" s="128"/>
      <c r="D4" s="136" t="s">
        <v>294</v>
      </c>
      <c r="E4" s="138" t="s">
        <v>622</v>
      </c>
      <c r="F4" s="128"/>
      <c r="G4" s="172" t="s">
        <v>6</v>
      </c>
      <c r="H4" s="171"/>
      <c r="I4" s="136" t="s">
        <v>647</v>
      </c>
      <c r="J4" s="136" t="s">
        <v>652</v>
      </c>
      <c r="K4" s="128"/>
      <c r="L4" s="128"/>
      <c r="M4" s="134"/>
      <c r="N4" s="1"/>
    </row>
    <row r="5" spans="1:14" ht="12.75">
      <c r="A5" s="127"/>
      <c r="B5" s="128"/>
      <c r="C5" s="128"/>
      <c r="D5" s="128"/>
      <c r="E5" s="128"/>
      <c r="F5" s="128"/>
      <c r="G5" s="171"/>
      <c r="H5" s="171"/>
      <c r="I5" s="128"/>
      <c r="J5" s="128"/>
      <c r="K5" s="128"/>
      <c r="L5" s="128"/>
      <c r="M5" s="134"/>
      <c r="N5" s="1"/>
    </row>
    <row r="6" spans="1:14" ht="12.75">
      <c r="A6" s="135" t="s">
        <v>3</v>
      </c>
      <c r="B6" s="128"/>
      <c r="C6" s="128"/>
      <c r="D6" s="136" t="s">
        <v>293</v>
      </c>
      <c r="E6" s="138" t="s">
        <v>623</v>
      </c>
      <c r="F6" s="128"/>
      <c r="G6" s="172" t="s">
        <v>6</v>
      </c>
      <c r="H6" s="171"/>
      <c r="I6" s="136" t="s">
        <v>648</v>
      </c>
      <c r="J6" s="173" t="s">
        <v>653</v>
      </c>
      <c r="K6" s="171"/>
      <c r="L6" s="171"/>
      <c r="M6" s="174"/>
      <c r="N6" s="1"/>
    </row>
    <row r="7" spans="1:14" ht="12.75">
      <c r="A7" s="127"/>
      <c r="B7" s="128"/>
      <c r="C7" s="128"/>
      <c r="D7" s="128"/>
      <c r="E7" s="128"/>
      <c r="F7" s="128"/>
      <c r="G7" s="171"/>
      <c r="H7" s="171"/>
      <c r="I7" s="128"/>
      <c r="J7" s="171"/>
      <c r="K7" s="171"/>
      <c r="L7" s="171"/>
      <c r="M7" s="174"/>
      <c r="N7" s="1"/>
    </row>
    <row r="8" spans="1:14" ht="12.75">
      <c r="A8" s="135" t="s">
        <v>4</v>
      </c>
      <c r="B8" s="128"/>
      <c r="C8" s="128"/>
      <c r="D8" s="136">
        <v>82229</v>
      </c>
      <c r="E8" s="138" t="s">
        <v>624</v>
      </c>
      <c r="F8" s="128"/>
      <c r="G8" s="172" t="s">
        <v>640</v>
      </c>
      <c r="H8" s="171"/>
      <c r="I8" s="136" t="s">
        <v>649</v>
      </c>
      <c r="J8" s="173" t="s">
        <v>654</v>
      </c>
      <c r="K8" s="171"/>
      <c r="L8" s="171"/>
      <c r="M8" s="174"/>
      <c r="N8" s="1"/>
    </row>
    <row r="9" spans="1:14" ht="12.75">
      <c r="A9" s="165"/>
      <c r="B9" s="166"/>
      <c r="C9" s="166"/>
      <c r="D9" s="166"/>
      <c r="E9" s="166"/>
      <c r="F9" s="166"/>
      <c r="G9" s="175"/>
      <c r="H9" s="175"/>
      <c r="I9" s="166"/>
      <c r="J9" s="175"/>
      <c r="K9" s="175"/>
      <c r="L9" s="175"/>
      <c r="M9" s="176"/>
      <c r="N9" s="1"/>
    </row>
    <row r="10" spans="1:14" ht="13.5">
      <c r="A10" s="2" t="s">
        <v>5</v>
      </c>
      <c r="B10" s="11" t="s">
        <v>144</v>
      </c>
      <c r="C10" s="11" t="s">
        <v>146</v>
      </c>
      <c r="D10" s="11" t="s">
        <v>295</v>
      </c>
      <c r="E10" s="11" t="s">
        <v>625</v>
      </c>
      <c r="F10" s="21" t="s">
        <v>639</v>
      </c>
      <c r="G10" s="25" t="s">
        <v>641</v>
      </c>
      <c r="H10" s="181" t="s">
        <v>643</v>
      </c>
      <c r="I10" s="182"/>
      <c r="J10" s="183"/>
      <c r="K10" s="181" t="s">
        <v>656</v>
      </c>
      <c r="L10" s="183"/>
      <c r="M10" s="39" t="s">
        <v>657</v>
      </c>
      <c r="N10" s="43"/>
    </row>
    <row r="11" spans="1:24" ht="13.5">
      <c r="A11" s="3" t="s">
        <v>6</v>
      </c>
      <c r="B11" s="12" t="s">
        <v>6</v>
      </c>
      <c r="C11" s="12" t="s">
        <v>6</v>
      </c>
      <c r="D11" s="16" t="s">
        <v>296</v>
      </c>
      <c r="E11" s="12" t="s">
        <v>6</v>
      </c>
      <c r="F11" s="12" t="s">
        <v>6</v>
      </c>
      <c r="G11" s="26" t="s">
        <v>642</v>
      </c>
      <c r="H11" s="32" t="s">
        <v>644</v>
      </c>
      <c r="I11" s="33" t="s">
        <v>650</v>
      </c>
      <c r="J11" s="34" t="s">
        <v>655</v>
      </c>
      <c r="K11" s="32" t="s">
        <v>641</v>
      </c>
      <c r="L11" s="34" t="s">
        <v>655</v>
      </c>
      <c r="M11" s="40" t="s">
        <v>658</v>
      </c>
      <c r="N11" s="43"/>
      <c r="P11" s="36" t="s">
        <v>665</v>
      </c>
      <c r="Q11" s="36" t="s">
        <v>666</v>
      </c>
      <c r="R11" s="36" t="s">
        <v>667</v>
      </c>
      <c r="S11" s="36" t="s">
        <v>668</v>
      </c>
      <c r="T11" s="36" t="s">
        <v>669</v>
      </c>
      <c r="U11" s="36" t="s">
        <v>670</v>
      </c>
      <c r="V11" s="36" t="s">
        <v>671</v>
      </c>
      <c r="W11" s="36" t="s">
        <v>672</v>
      </c>
      <c r="X11" s="36" t="s">
        <v>673</v>
      </c>
    </row>
    <row r="12" spans="1:13" ht="13.5">
      <c r="A12" s="4"/>
      <c r="B12" s="13" t="s">
        <v>145</v>
      </c>
      <c r="C12" s="13"/>
      <c r="D12" s="13" t="s">
        <v>297</v>
      </c>
      <c r="E12" s="4" t="s">
        <v>6</v>
      </c>
      <c r="F12" s="4" t="s">
        <v>6</v>
      </c>
      <c r="G12" s="27" t="s">
        <v>6</v>
      </c>
      <c r="H12" s="46">
        <f>H13+H15+H58+H73+H84+H113+H128+H153+H165+H176+H180+H188+H191+H195+H208+H216+H248+H252+H255+H270+H283+H288+H297+H327+H342+H345+H348+H353+H357+H360+H366+H370+H391+H396</f>
        <v>0</v>
      </c>
      <c r="I12" s="46">
        <f>I13+I15+I58+I73+I84+I113+I128+I153+I165+I176+I180+I188+I191+I195+I208+I216+I248+I252+I255+I270+I283+I288+I297+I327+I342+I345+I348+I353+I357+I360+I366+I370+I391+I396</f>
        <v>0</v>
      </c>
      <c r="J12" s="46">
        <f>H12+I12</f>
        <v>0</v>
      </c>
      <c r="K12" s="35"/>
      <c r="L12" s="46">
        <f>L13+L15+L58+L73+L84+L113+L128+L153+L165+L176+L180+L188+L191+L195+L208+L216+L248+L252+L255+L270+L283+L288+L297+L327+L342+L345+L348+L353+L357+L360+L366+L370+L391+L396</f>
        <v>1060.7206382500003</v>
      </c>
      <c r="M12" s="35"/>
    </row>
    <row r="13" spans="1:37" ht="13.5">
      <c r="A13" s="5"/>
      <c r="B13" s="14" t="s">
        <v>145</v>
      </c>
      <c r="C13" s="14" t="s">
        <v>147</v>
      </c>
      <c r="D13" s="14" t="s">
        <v>298</v>
      </c>
      <c r="E13" s="5" t="s">
        <v>6</v>
      </c>
      <c r="F13" s="5" t="s">
        <v>6</v>
      </c>
      <c r="G13" s="28" t="s">
        <v>6</v>
      </c>
      <c r="H13" s="47">
        <f>SUM(H14:H14)</f>
        <v>0</v>
      </c>
      <c r="I13" s="47">
        <f>SUM(I14:I14)</f>
        <v>0</v>
      </c>
      <c r="J13" s="47">
        <f>H13+I13</f>
        <v>0</v>
      </c>
      <c r="K13" s="36"/>
      <c r="L13" s="47">
        <f>SUM(L14:L14)</f>
        <v>0</v>
      </c>
      <c r="M13" s="36"/>
      <c r="Y13" s="36" t="s">
        <v>145</v>
      </c>
      <c r="AI13" s="47">
        <f>SUM(Z14:Z14)</f>
        <v>0</v>
      </c>
      <c r="AJ13" s="47">
        <f>SUM(AA14:AA14)</f>
        <v>0</v>
      </c>
      <c r="AK13" s="47">
        <f>SUM(AB14:AB14)</f>
        <v>0</v>
      </c>
    </row>
    <row r="14" spans="1:48" ht="13.5">
      <c r="A14" s="6" t="s">
        <v>7</v>
      </c>
      <c r="B14" s="6" t="s">
        <v>145</v>
      </c>
      <c r="C14" s="6" t="s">
        <v>148</v>
      </c>
      <c r="D14" s="6" t="s">
        <v>299</v>
      </c>
      <c r="E14" s="6" t="s">
        <v>626</v>
      </c>
      <c r="F14" s="73">
        <v>1</v>
      </c>
      <c r="G14" s="29">
        <f>+Rekapitulace!C24</f>
        <v>0</v>
      </c>
      <c r="H14" s="22">
        <f>F14*AE14</f>
        <v>0</v>
      </c>
      <c r="I14" s="22">
        <f>J14-H14</f>
        <v>0</v>
      </c>
      <c r="J14" s="22">
        <f>F14*G14</f>
        <v>0</v>
      </c>
      <c r="K14" s="22">
        <v>0</v>
      </c>
      <c r="L14" s="22">
        <f>F14*K14</f>
        <v>0</v>
      </c>
      <c r="M14" s="41" t="s">
        <v>659</v>
      </c>
      <c r="P14" s="44">
        <f>IF(AG14="5",J14,0)</f>
        <v>0</v>
      </c>
      <c r="R14" s="44">
        <f>IF(AG14="1",H14,0)</f>
        <v>0</v>
      </c>
      <c r="S14" s="44">
        <f>IF(AG14="1",I14,0)</f>
        <v>0</v>
      </c>
      <c r="T14" s="44">
        <f>IF(AG14="7",H14,0)</f>
        <v>0</v>
      </c>
      <c r="U14" s="44">
        <f>IF(AG14="7",I14,0)</f>
        <v>0</v>
      </c>
      <c r="V14" s="44">
        <f>IF(AG14="2",H14,0)</f>
        <v>0</v>
      </c>
      <c r="W14" s="44">
        <f>IF(AG14="2",I14,0)</f>
        <v>0</v>
      </c>
      <c r="X14" s="44">
        <f>IF(AG14="0",J14,0)</f>
        <v>0</v>
      </c>
      <c r="Y14" s="36" t="s">
        <v>145</v>
      </c>
      <c r="Z14" s="22">
        <f>IF(AD14=0,J14,0)</f>
        <v>0</v>
      </c>
      <c r="AA14" s="22">
        <f>IF(AD14=15,J14,0)</f>
        <v>0</v>
      </c>
      <c r="AB14" s="22">
        <f>IF(AD14=21,J14,0)</f>
        <v>0</v>
      </c>
      <c r="AD14" s="44">
        <v>21</v>
      </c>
      <c r="AE14" s="44">
        <f>G14*0</f>
        <v>0</v>
      </c>
      <c r="AF14" s="44">
        <f>G14*(1-0)</f>
        <v>0</v>
      </c>
      <c r="AG14" s="41" t="s">
        <v>7</v>
      </c>
      <c r="AM14" s="44">
        <f>F14*AE14</f>
        <v>0</v>
      </c>
      <c r="AN14" s="44">
        <f>F14*AF14</f>
        <v>0</v>
      </c>
      <c r="AO14" s="45" t="s">
        <v>674</v>
      </c>
      <c r="AP14" s="45" t="s">
        <v>708</v>
      </c>
      <c r="AQ14" s="36" t="s">
        <v>718</v>
      </c>
      <c r="AS14" s="44">
        <f>AM14+AN14</f>
        <v>0</v>
      </c>
      <c r="AT14" s="44">
        <f>G14/(100-AU14)*100</f>
        <v>0</v>
      </c>
      <c r="AU14" s="44">
        <v>0</v>
      </c>
      <c r="AV14" s="44">
        <f>L14</f>
        <v>0</v>
      </c>
    </row>
    <row r="15" spans="1:37" ht="13.5">
      <c r="A15" s="5"/>
      <c r="B15" s="14" t="s">
        <v>145</v>
      </c>
      <c r="C15" s="14" t="s">
        <v>17</v>
      </c>
      <c r="D15" s="14" t="s">
        <v>300</v>
      </c>
      <c r="E15" s="5" t="s">
        <v>6</v>
      </c>
      <c r="F15" s="5" t="s">
        <v>6</v>
      </c>
      <c r="G15" s="28" t="s">
        <v>6</v>
      </c>
      <c r="H15" s="47">
        <f>SUM(H16:H55)</f>
        <v>0</v>
      </c>
      <c r="I15" s="47">
        <f>SUM(I16:I55)</f>
        <v>0</v>
      </c>
      <c r="J15" s="47">
        <f>H15+I15</f>
        <v>0</v>
      </c>
      <c r="K15" s="36"/>
      <c r="L15" s="47">
        <f>SUM(L16:L55)</f>
        <v>14.2561</v>
      </c>
      <c r="M15" s="36"/>
      <c r="Y15" s="36" t="s">
        <v>145</v>
      </c>
      <c r="AI15" s="47">
        <f>SUM(Z16:Z55)</f>
        <v>0</v>
      </c>
      <c r="AJ15" s="47">
        <f>SUM(AA16:AA55)</f>
        <v>0</v>
      </c>
      <c r="AK15" s="47">
        <f>SUM(AB16:AB55)</f>
        <v>0</v>
      </c>
    </row>
    <row r="16" spans="1:48" ht="13.5">
      <c r="A16" s="6" t="s">
        <v>8</v>
      </c>
      <c r="B16" s="6" t="s">
        <v>145</v>
      </c>
      <c r="C16" s="6" t="s">
        <v>149</v>
      </c>
      <c r="D16" s="6" t="s">
        <v>301</v>
      </c>
      <c r="E16" s="6" t="s">
        <v>627</v>
      </c>
      <c r="F16" s="73">
        <v>611</v>
      </c>
      <c r="G16" s="29">
        <v>0</v>
      </c>
      <c r="H16" s="22">
        <f>F16*AE16</f>
        <v>0</v>
      </c>
      <c r="I16" s="22">
        <f>J16-H16</f>
        <v>0</v>
      </c>
      <c r="J16" s="22">
        <f>F16*G16</f>
        <v>0</v>
      </c>
      <c r="K16" s="22">
        <v>0</v>
      </c>
      <c r="L16" s="22">
        <f>F16*K16</f>
        <v>0</v>
      </c>
      <c r="M16" s="41" t="s">
        <v>660</v>
      </c>
      <c r="P16" s="44">
        <f>IF(AG16="5",J16,0)</f>
        <v>0</v>
      </c>
      <c r="R16" s="44">
        <f>IF(AG16="1",H16,0)</f>
        <v>0</v>
      </c>
      <c r="S16" s="44">
        <f>IF(AG16="1",I16,0)</f>
        <v>0</v>
      </c>
      <c r="T16" s="44">
        <f>IF(AG16="7",H16,0)</f>
        <v>0</v>
      </c>
      <c r="U16" s="44">
        <f>IF(AG16="7",I16,0)</f>
        <v>0</v>
      </c>
      <c r="V16" s="44">
        <f>IF(AG16="2",H16,0)</f>
        <v>0</v>
      </c>
      <c r="W16" s="44">
        <f>IF(AG16="2",I16,0)</f>
        <v>0</v>
      </c>
      <c r="X16" s="44">
        <f>IF(AG16="0",J16,0)</f>
        <v>0</v>
      </c>
      <c r="Y16" s="36" t="s">
        <v>145</v>
      </c>
      <c r="Z16" s="22">
        <f>IF(AD16=0,J16,0)</f>
        <v>0</v>
      </c>
      <c r="AA16" s="22">
        <f>IF(AD16=15,J16,0)</f>
        <v>0</v>
      </c>
      <c r="AB16" s="22">
        <f>IF(AD16=21,J16,0)</f>
        <v>0</v>
      </c>
      <c r="AD16" s="44">
        <v>21</v>
      </c>
      <c r="AE16" s="44">
        <f>G16*0</f>
        <v>0</v>
      </c>
      <c r="AF16" s="44">
        <f>G16*(1-0)</f>
        <v>0</v>
      </c>
      <c r="AG16" s="41" t="s">
        <v>7</v>
      </c>
      <c r="AM16" s="44">
        <f>F16*AE16</f>
        <v>0</v>
      </c>
      <c r="AN16" s="44">
        <f>F16*AF16</f>
        <v>0</v>
      </c>
      <c r="AO16" s="45" t="s">
        <v>675</v>
      </c>
      <c r="AP16" s="45" t="s">
        <v>709</v>
      </c>
      <c r="AQ16" s="36" t="s">
        <v>718</v>
      </c>
      <c r="AS16" s="44">
        <f>AM16+AN16</f>
        <v>0</v>
      </c>
      <c r="AT16" s="44">
        <f>G16/(100-AU16)*100</f>
        <v>0</v>
      </c>
      <c r="AU16" s="44">
        <v>0</v>
      </c>
      <c r="AV16" s="44">
        <f>L16</f>
        <v>0</v>
      </c>
    </row>
    <row r="17" spans="4:7" ht="12.75">
      <c r="D17" s="17" t="s">
        <v>302</v>
      </c>
      <c r="F17" s="74">
        <v>611</v>
      </c>
      <c r="G17" s="24"/>
    </row>
    <row r="18" spans="1:48" ht="13.5">
      <c r="A18" s="6" t="s">
        <v>9</v>
      </c>
      <c r="B18" s="6" t="s">
        <v>145</v>
      </c>
      <c r="C18" s="6" t="s">
        <v>150</v>
      </c>
      <c r="D18" s="6" t="s">
        <v>303</v>
      </c>
      <c r="E18" s="6" t="s">
        <v>628</v>
      </c>
      <c r="F18" s="73">
        <v>1.7</v>
      </c>
      <c r="G18" s="29">
        <v>0</v>
      </c>
      <c r="H18" s="22">
        <f>F18*AE18</f>
        <v>0</v>
      </c>
      <c r="I18" s="22">
        <f>J18-H18</f>
        <v>0</v>
      </c>
      <c r="J18" s="22">
        <f>F18*G18</f>
        <v>0</v>
      </c>
      <c r="K18" s="22">
        <v>0.145</v>
      </c>
      <c r="L18" s="22">
        <f>F18*K18</f>
        <v>0.24649999999999997</v>
      </c>
      <c r="M18" s="41" t="s">
        <v>660</v>
      </c>
      <c r="P18" s="44">
        <f>IF(AG18="5",J18,0)</f>
        <v>0</v>
      </c>
      <c r="R18" s="44">
        <f>IF(AG18="1",H18,0)</f>
        <v>0</v>
      </c>
      <c r="S18" s="44">
        <f>IF(AG18="1",I18,0)</f>
        <v>0</v>
      </c>
      <c r="T18" s="44">
        <f>IF(AG18="7",H18,0)</f>
        <v>0</v>
      </c>
      <c r="U18" s="44">
        <f>IF(AG18="7",I18,0)</f>
        <v>0</v>
      </c>
      <c r="V18" s="44">
        <f>IF(AG18="2",H18,0)</f>
        <v>0</v>
      </c>
      <c r="W18" s="44">
        <f>IF(AG18="2",I18,0)</f>
        <v>0</v>
      </c>
      <c r="X18" s="44">
        <f>IF(AG18="0",J18,0)</f>
        <v>0</v>
      </c>
      <c r="Y18" s="36" t="s">
        <v>145</v>
      </c>
      <c r="Z18" s="22">
        <f>IF(AD18=0,J18,0)</f>
        <v>0</v>
      </c>
      <c r="AA18" s="22">
        <f>IF(AD18=15,J18,0)</f>
        <v>0</v>
      </c>
      <c r="AB18" s="22">
        <f>IF(AD18=21,J18,0)</f>
        <v>0</v>
      </c>
      <c r="AD18" s="44">
        <v>21</v>
      </c>
      <c r="AE18" s="44">
        <f>G18*0</f>
        <v>0</v>
      </c>
      <c r="AF18" s="44">
        <f>G18*(1-0)</f>
        <v>0</v>
      </c>
      <c r="AG18" s="41" t="s">
        <v>7</v>
      </c>
      <c r="AM18" s="44">
        <f>F18*AE18</f>
        <v>0</v>
      </c>
      <c r="AN18" s="44">
        <f>F18*AF18</f>
        <v>0</v>
      </c>
      <c r="AO18" s="45" t="s">
        <v>675</v>
      </c>
      <c r="AP18" s="45" t="s">
        <v>709</v>
      </c>
      <c r="AQ18" s="36" t="s">
        <v>718</v>
      </c>
      <c r="AS18" s="44">
        <f>AM18+AN18</f>
        <v>0</v>
      </c>
      <c r="AT18" s="44">
        <f>G18/(100-AU18)*100</f>
        <v>0</v>
      </c>
      <c r="AU18" s="44">
        <v>0</v>
      </c>
      <c r="AV18" s="44">
        <f>L18</f>
        <v>0.24649999999999997</v>
      </c>
    </row>
    <row r="19" spans="4:7" ht="12.75">
      <c r="D19" s="17" t="s">
        <v>304</v>
      </c>
      <c r="F19" s="74">
        <v>1.7</v>
      </c>
      <c r="G19" s="24"/>
    </row>
    <row r="20" spans="3:13" ht="12.75">
      <c r="C20" s="15" t="s">
        <v>142</v>
      </c>
      <c r="D20" s="177" t="s">
        <v>305</v>
      </c>
      <c r="E20" s="178"/>
      <c r="F20" s="178"/>
      <c r="G20" s="179"/>
      <c r="H20" s="178"/>
      <c r="I20" s="178"/>
      <c r="J20" s="178"/>
      <c r="K20" s="178"/>
      <c r="L20" s="178"/>
      <c r="M20" s="178"/>
    </row>
    <row r="21" spans="1:48" ht="13.5">
      <c r="A21" s="6" t="s">
        <v>10</v>
      </c>
      <c r="B21" s="6" t="s">
        <v>145</v>
      </c>
      <c r="C21" s="6" t="s">
        <v>151</v>
      </c>
      <c r="D21" s="6" t="s">
        <v>306</v>
      </c>
      <c r="E21" s="6" t="s">
        <v>628</v>
      </c>
      <c r="F21" s="73">
        <v>1.7</v>
      </c>
      <c r="G21" s="29">
        <v>0</v>
      </c>
      <c r="H21" s="22">
        <f>F21*AE21</f>
        <v>0</v>
      </c>
      <c r="I21" s="22">
        <f>J21-H21</f>
        <v>0</v>
      </c>
      <c r="J21" s="22">
        <f>F21*G21</f>
        <v>0</v>
      </c>
      <c r="K21" s="22">
        <v>0</v>
      </c>
      <c r="L21" s="22">
        <f>F21*K21</f>
        <v>0</v>
      </c>
      <c r="M21" s="41" t="s">
        <v>660</v>
      </c>
      <c r="P21" s="44">
        <f>IF(AG21="5",J21,0)</f>
        <v>0</v>
      </c>
      <c r="R21" s="44">
        <f>IF(AG21="1",H21,0)</f>
        <v>0</v>
      </c>
      <c r="S21" s="44">
        <f>IF(AG21="1",I21,0)</f>
        <v>0</v>
      </c>
      <c r="T21" s="44">
        <f>IF(AG21="7",H21,0)</f>
        <v>0</v>
      </c>
      <c r="U21" s="44">
        <f>IF(AG21="7",I21,0)</f>
        <v>0</v>
      </c>
      <c r="V21" s="44">
        <f>IF(AG21="2",H21,0)</f>
        <v>0</v>
      </c>
      <c r="W21" s="44">
        <f>IF(AG21="2",I21,0)</f>
        <v>0</v>
      </c>
      <c r="X21" s="44">
        <f>IF(AG21="0",J21,0)</f>
        <v>0</v>
      </c>
      <c r="Y21" s="36" t="s">
        <v>145</v>
      </c>
      <c r="Z21" s="22">
        <f>IF(AD21=0,J21,0)</f>
        <v>0</v>
      </c>
      <c r="AA21" s="22">
        <f>IF(AD21=15,J21,0)</f>
        <v>0</v>
      </c>
      <c r="AB21" s="22">
        <f>IF(AD21=21,J21,0)</f>
        <v>0</v>
      </c>
      <c r="AD21" s="44">
        <v>21</v>
      </c>
      <c r="AE21" s="44">
        <f>G21*0</f>
        <v>0</v>
      </c>
      <c r="AF21" s="44">
        <f>G21*(1-0)</f>
        <v>0</v>
      </c>
      <c r="AG21" s="41" t="s">
        <v>7</v>
      </c>
      <c r="AM21" s="44">
        <f>F21*AE21</f>
        <v>0</v>
      </c>
      <c r="AN21" s="44">
        <f>F21*AF21</f>
        <v>0</v>
      </c>
      <c r="AO21" s="45" t="s">
        <v>675</v>
      </c>
      <c r="AP21" s="45" t="s">
        <v>709</v>
      </c>
      <c r="AQ21" s="36" t="s">
        <v>718</v>
      </c>
      <c r="AS21" s="44">
        <f>AM21+AN21</f>
        <v>0</v>
      </c>
      <c r="AT21" s="44">
        <f>G21/(100-AU21)*100</f>
        <v>0</v>
      </c>
      <c r="AU21" s="44">
        <v>0</v>
      </c>
      <c r="AV21" s="44">
        <f>L21</f>
        <v>0</v>
      </c>
    </row>
    <row r="22" spans="4:7" ht="12.75">
      <c r="D22" s="17" t="s">
        <v>307</v>
      </c>
      <c r="F22" s="74">
        <v>1.7</v>
      </c>
      <c r="G22" s="24"/>
    </row>
    <row r="23" spans="1:48" ht="13.5">
      <c r="A23" s="6" t="s">
        <v>11</v>
      </c>
      <c r="B23" s="6" t="s">
        <v>145</v>
      </c>
      <c r="C23" s="6" t="s">
        <v>152</v>
      </c>
      <c r="D23" s="6" t="s">
        <v>308</v>
      </c>
      <c r="E23" s="6" t="s">
        <v>629</v>
      </c>
      <c r="F23" s="73">
        <v>0.2</v>
      </c>
      <c r="G23" s="29">
        <v>0</v>
      </c>
      <c r="H23" s="22">
        <f>F23*AE23</f>
        <v>0</v>
      </c>
      <c r="I23" s="22">
        <f>J23-H23</f>
        <v>0</v>
      </c>
      <c r="J23" s="22">
        <f>F23*G23</f>
        <v>0</v>
      </c>
      <c r="K23" s="22">
        <v>2.2</v>
      </c>
      <c r="L23" s="22">
        <f>F23*K23</f>
        <v>0.44000000000000006</v>
      </c>
      <c r="M23" s="41" t="s">
        <v>660</v>
      </c>
      <c r="P23" s="44">
        <f>IF(AG23="5",J23,0)</f>
        <v>0</v>
      </c>
      <c r="R23" s="44">
        <f>IF(AG23="1",H23,0)</f>
        <v>0</v>
      </c>
      <c r="S23" s="44">
        <f>IF(AG23="1",I23,0)</f>
        <v>0</v>
      </c>
      <c r="T23" s="44">
        <f>IF(AG23="7",H23,0)</f>
        <v>0</v>
      </c>
      <c r="U23" s="44">
        <f>IF(AG23="7",I23,0)</f>
        <v>0</v>
      </c>
      <c r="V23" s="44">
        <f>IF(AG23="2",H23,0)</f>
        <v>0</v>
      </c>
      <c r="W23" s="44">
        <f>IF(AG23="2",I23,0)</f>
        <v>0</v>
      </c>
      <c r="X23" s="44">
        <f>IF(AG23="0",J23,0)</f>
        <v>0</v>
      </c>
      <c r="Y23" s="36" t="s">
        <v>145</v>
      </c>
      <c r="Z23" s="22">
        <f>IF(AD23=0,J23,0)</f>
        <v>0</v>
      </c>
      <c r="AA23" s="22">
        <f>IF(AD23=15,J23,0)</f>
        <v>0</v>
      </c>
      <c r="AB23" s="22">
        <f>IF(AD23=21,J23,0)</f>
        <v>0</v>
      </c>
      <c r="AD23" s="44">
        <v>21</v>
      </c>
      <c r="AE23" s="44">
        <f>G23*0</f>
        <v>0</v>
      </c>
      <c r="AF23" s="44">
        <f>G23*(1-0)</f>
        <v>0</v>
      </c>
      <c r="AG23" s="41" t="s">
        <v>7</v>
      </c>
      <c r="AM23" s="44">
        <f>F23*AE23</f>
        <v>0</v>
      </c>
      <c r="AN23" s="44">
        <f>F23*AF23</f>
        <v>0</v>
      </c>
      <c r="AO23" s="45" t="s">
        <v>675</v>
      </c>
      <c r="AP23" s="45" t="s">
        <v>709</v>
      </c>
      <c r="AQ23" s="36" t="s">
        <v>718</v>
      </c>
      <c r="AS23" s="44">
        <f>AM23+AN23</f>
        <v>0</v>
      </c>
      <c r="AT23" s="44">
        <f>G23/(100-AU23)*100</f>
        <v>0</v>
      </c>
      <c r="AU23" s="44">
        <v>0</v>
      </c>
      <c r="AV23" s="44">
        <f>L23</f>
        <v>0.44000000000000006</v>
      </c>
    </row>
    <row r="24" spans="4:7" ht="12.75">
      <c r="D24" s="18" t="s">
        <v>309</v>
      </c>
      <c r="G24" s="24"/>
    </row>
    <row r="25" spans="4:7" ht="12.75">
      <c r="D25" s="17" t="s">
        <v>310</v>
      </c>
      <c r="F25" s="74">
        <v>0.2</v>
      </c>
      <c r="G25" s="24"/>
    </row>
    <row r="26" spans="1:48" ht="13.5">
      <c r="A26" s="6" t="s">
        <v>12</v>
      </c>
      <c r="B26" s="6" t="s">
        <v>145</v>
      </c>
      <c r="C26" s="6" t="s">
        <v>153</v>
      </c>
      <c r="D26" s="6" t="s">
        <v>311</v>
      </c>
      <c r="E26" s="6" t="s">
        <v>630</v>
      </c>
      <c r="F26" s="73">
        <v>0.69</v>
      </c>
      <c r="G26" s="29">
        <v>0</v>
      </c>
      <c r="H26" s="22">
        <f>F26*AE26</f>
        <v>0</v>
      </c>
      <c r="I26" s="22">
        <f>J26-H26</f>
        <v>0</v>
      </c>
      <c r="J26" s="22">
        <f>F26*G26</f>
        <v>0</v>
      </c>
      <c r="K26" s="22">
        <v>0</v>
      </c>
      <c r="L26" s="22">
        <f>F26*K26</f>
        <v>0</v>
      </c>
      <c r="M26" s="41" t="s">
        <v>660</v>
      </c>
      <c r="P26" s="44">
        <f>IF(AG26="5",J26,0)</f>
        <v>0</v>
      </c>
      <c r="R26" s="44">
        <f>IF(AG26="1",H26,0)</f>
        <v>0</v>
      </c>
      <c r="S26" s="44">
        <f>IF(AG26="1",I26,0)</f>
        <v>0</v>
      </c>
      <c r="T26" s="44">
        <f>IF(AG26="7",H26,0)</f>
        <v>0</v>
      </c>
      <c r="U26" s="44">
        <f>IF(AG26="7",I26,0)</f>
        <v>0</v>
      </c>
      <c r="V26" s="44">
        <f>IF(AG26="2",H26,0)</f>
        <v>0</v>
      </c>
      <c r="W26" s="44">
        <f>IF(AG26="2",I26,0)</f>
        <v>0</v>
      </c>
      <c r="X26" s="44">
        <f>IF(AG26="0",J26,0)</f>
        <v>0</v>
      </c>
      <c r="Y26" s="36" t="s">
        <v>145</v>
      </c>
      <c r="Z26" s="22">
        <f>IF(AD26=0,J26,0)</f>
        <v>0</v>
      </c>
      <c r="AA26" s="22">
        <f>IF(AD26=15,J26,0)</f>
        <v>0</v>
      </c>
      <c r="AB26" s="22">
        <f>IF(AD26=21,J26,0)</f>
        <v>0</v>
      </c>
      <c r="AD26" s="44">
        <v>21</v>
      </c>
      <c r="AE26" s="44">
        <f>G26*0</f>
        <v>0</v>
      </c>
      <c r="AF26" s="44">
        <f>G26*(1-0)</f>
        <v>0</v>
      </c>
      <c r="AG26" s="41" t="s">
        <v>11</v>
      </c>
      <c r="AM26" s="44">
        <f>F26*AE26</f>
        <v>0</v>
      </c>
      <c r="AN26" s="44">
        <f>F26*AF26</f>
        <v>0</v>
      </c>
      <c r="AO26" s="45" t="s">
        <v>675</v>
      </c>
      <c r="AP26" s="45" t="s">
        <v>709</v>
      </c>
      <c r="AQ26" s="36" t="s">
        <v>718</v>
      </c>
      <c r="AS26" s="44">
        <f>AM26+AN26</f>
        <v>0</v>
      </c>
      <c r="AT26" s="44">
        <f>G26/(100-AU26)*100</f>
        <v>0</v>
      </c>
      <c r="AU26" s="44">
        <v>0</v>
      </c>
      <c r="AV26" s="44">
        <f>L26</f>
        <v>0</v>
      </c>
    </row>
    <row r="27" spans="4:7" ht="12.75">
      <c r="D27" s="17" t="s">
        <v>312</v>
      </c>
      <c r="F27" s="74">
        <v>0.69</v>
      </c>
      <c r="G27" s="24"/>
    </row>
    <row r="28" spans="1:48" ht="13.5">
      <c r="A28" s="6" t="s">
        <v>13</v>
      </c>
      <c r="B28" s="6" t="s">
        <v>145</v>
      </c>
      <c r="C28" s="6" t="s">
        <v>154</v>
      </c>
      <c r="D28" s="6" t="s">
        <v>313</v>
      </c>
      <c r="E28" s="6" t="s">
        <v>627</v>
      </c>
      <c r="F28" s="73">
        <v>153</v>
      </c>
      <c r="G28" s="29">
        <v>0</v>
      </c>
      <c r="H28" s="22">
        <f>F28*AE28</f>
        <v>0</v>
      </c>
      <c r="I28" s="22">
        <f>J28-H28</f>
        <v>0</v>
      </c>
      <c r="J28" s="22">
        <f>F28*G28</f>
        <v>0</v>
      </c>
      <c r="K28" s="22">
        <v>0.088</v>
      </c>
      <c r="L28" s="22">
        <f>F28*K28</f>
        <v>13.463999999999999</v>
      </c>
      <c r="M28" s="41" t="s">
        <v>660</v>
      </c>
      <c r="P28" s="44">
        <f>IF(AG28="5",J28,0)</f>
        <v>0</v>
      </c>
      <c r="R28" s="44">
        <f>IF(AG28="1",H28,0)</f>
        <v>0</v>
      </c>
      <c r="S28" s="44">
        <f>IF(AG28="1",I28,0)</f>
        <v>0</v>
      </c>
      <c r="T28" s="44">
        <f>IF(AG28="7",H28,0)</f>
        <v>0</v>
      </c>
      <c r="U28" s="44">
        <f>IF(AG28="7",I28,0)</f>
        <v>0</v>
      </c>
      <c r="V28" s="44">
        <f>IF(AG28="2",H28,0)</f>
        <v>0</v>
      </c>
      <c r="W28" s="44">
        <f>IF(AG28="2",I28,0)</f>
        <v>0</v>
      </c>
      <c r="X28" s="44">
        <f>IF(AG28="0",J28,0)</f>
        <v>0</v>
      </c>
      <c r="Y28" s="36" t="s">
        <v>145</v>
      </c>
      <c r="Z28" s="22">
        <f>IF(AD28=0,J28,0)</f>
        <v>0</v>
      </c>
      <c r="AA28" s="22">
        <f>IF(AD28=15,J28,0)</f>
        <v>0</v>
      </c>
      <c r="AB28" s="22">
        <f>IF(AD28=21,J28,0)</f>
        <v>0</v>
      </c>
      <c r="AD28" s="44">
        <v>21</v>
      </c>
      <c r="AE28" s="44">
        <f>G28*0</f>
        <v>0</v>
      </c>
      <c r="AF28" s="44">
        <f>G28*(1-0)</f>
        <v>0</v>
      </c>
      <c r="AG28" s="41" t="s">
        <v>7</v>
      </c>
      <c r="AM28" s="44">
        <f>F28*AE28</f>
        <v>0</v>
      </c>
      <c r="AN28" s="44">
        <f>F28*AF28</f>
        <v>0</v>
      </c>
      <c r="AO28" s="45" t="s">
        <v>675</v>
      </c>
      <c r="AP28" s="45" t="s">
        <v>709</v>
      </c>
      <c r="AQ28" s="36" t="s">
        <v>718</v>
      </c>
      <c r="AS28" s="44">
        <f>AM28+AN28</f>
        <v>0</v>
      </c>
      <c r="AT28" s="44">
        <f>G28/(100-AU28)*100</f>
        <v>0</v>
      </c>
      <c r="AU28" s="44">
        <v>0</v>
      </c>
      <c r="AV28" s="44">
        <f>L28</f>
        <v>13.463999999999999</v>
      </c>
    </row>
    <row r="29" spans="4:7" ht="12.75">
      <c r="D29" s="18" t="s">
        <v>314</v>
      </c>
      <c r="G29" s="24"/>
    </row>
    <row r="30" spans="4:7" ht="12.75">
      <c r="D30" s="17" t="s">
        <v>315</v>
      </c>
      <c r="F30" s="74">
        <v>153</v>
      </c>
      <c r="G30" s="24"/>
    </row>
    <row r="31" spans="1:48" ht="13.5">
      <c r="A31" s="6" t="s">
        <v>14</v>
      </c>
      <c r="B31" s="6" t="s">
        <v>145</v>
      </c>
      <c r="C31" s="6" t="s">
        <v>155</v>
      </c>
      <c r="D31" s="6" t="s">
        <v>316</v>
      </c>
      <c r="E31" s="6" t="s">
        <v>627</v>
      </c>
      <c r="F31" s="73">
        <v>153</v>
      </c>
      <c r="G31" s="29">
        <v>0</v>
      </c>
      <c r="H31" s="22">
        <f>F31*AE31</f>
        <v>0</v>
      </c>
      <c r="I31" s="22">
        <f>J31-H31</f>
        <v>0</v>
      </c>
      <c r="J31" s="22">
        <f>F31*G31</f>
        <v>0</v>
      </c>
      <c r="K31" s="22">
        <v>0</v>
      </c>
      <c r="L31" s="22">
        <f>F31*K31</f>
        <v>0</v>
      </c>
      <c r="M31" s="41" t="s">
        <v>660</v>
      </c>
      <c r="P31" s="44">
        <f>IF(AG31="5",J31,0)</f>
        <v>0</v>
      </c>
      <c r="R31" s="44">
        <f>IF(AG31="1",H31,0)</f>
        <v>0</v>
      </c>
      <c r="S31" s="44">
        <f>IF(AG31="1",I31,0)</f>
        <v>0</v>
      </c>
      <c r="T31" s="44">
        <f>IF(AG31="7",H31,0)</f>
        <v>0</v>
      </c>
      <c r="U31" s="44">
        <f>IF(AG31="7",I31,0)</f>
        <v>0</v>
      </c>
      <c r="V31" s="44">
        <f>IF(AG31="2",H31,0)</f>
        <v>0</v>
      </c>
      <c r="W31" s="44">
        <f>IF(AG31="2",I31,0)</f>
        <v>0</v>
      </c>
      <c r="X31" s="44">
        <f>IF(AG31="0",J31,0)</f>
        <v>0</v>
      </c>
      <c r="Y31" s="36" t="s">
        <v>145</v>
      </c>
      <c r="Z31" s="22">
        <f>IF(AD31=0,J31,0)</f>
        <v>0</v>
      </c>
      <c r="AA31" s="22">
        <f>IF(AD31=15,J31,0)</f>
        <v>0</v>
      </c>
      <c r="AB31" s="22">
        <f>IF(AD31=21,J31,0)</f>
        <v>0</v>
      </c>
      <c r="AD31" s="44">
        <v>21</v>
      </c>
      <c r="AE31" s="44">
        <f>G31*0</f>
        <v>0</v>
      </c>
      <c r="AF31" s="44">
        <f>G31*(1-0)</f>
        <v>0</v>
      </c>
      <c r="AG31" s="41" t="s">
        <v>7</v>
      </c>
      <c r="AM31" s="44">
        <f>F31*AE31</f>
        <v>0</v>
      </c>
      <c r="AN31" s="44">
        <f>F31*AF31</f>
        <v>0</v>
      </c>
      <c r="AO31" s="45" t="s">
        <v>675</v>
      </c>
      <c r="AP31" s="45" t="s">
        <v>709</v>
      </c>
      <c r="AQ31" s="36" t="s">
        <v>718</v>
      </c>
      <c r="AS31" s="44">
        <f>AM31+AN31</f>
        <v>0</v>
      </c>
      <c r="AT31" s="44">
        <f>G31/(100-AU31)*100</f>
        <v>0</v>
      </c>
      <c r="AU31" s="44">
        <v>0</v>
      </c>
      <c r="AV31" s="44">
        <f>L31</f>
        <v>0</v>
      </c>
    </row>
    <row r="32" spans="4:7" ht="12.75">
      <c r="D32" s="17" t="s">
        <v>317</v>
      </c>
      <c r="F32" s="74">
        <v>153</v>
      </c>
      <c r="G32" s="24"/>
    </row>
    <row r="33" spans="4:7" ht="12.75">
      <c r="D33" s="17" t="s">
        <v>318</v>
      </c>
      <c r="F33" s="74">
        <v>0</v>
      </c>
      <c r="G33" s="24"/>
    </row>
    <row r="34" spans="1:48" ht="13.5">
      <c r="A34" s="6" t="s">
        <v>15</v>
      </c>
      <c r="B34" s="6" t="s">
        <v>145</v>
      </c>
      <c r="C34" s="6" t="s">
        <v>156</v>
      </c>
      <c r="D34" s="6" t="s">
        <v>319</v>
      </c>
      <c r="E34" s="6" t="s">
        <v>630</v>
      </c>
      <c r="F34" s="73">
        <v>13.57</v>
      </c>
      <c r="G34" s="29">
        <v>0</v>
      </c>
      <c r="H34" s="22">
        <f>F34*AE34</f>
        <v>0</v>
      </c>
      <c r="I34" s="22">
        <f>J34-H34</f>
        <v>0</v>
      </c>
      <c r="J34" s="22">
        <f>F34*G34</f>
        <v>0</v>
      </c>
      <c r="K34" s="22">
        <v>0</v>
      </c>
      <c r="L34" s="22">
        <f>F34*K34</f>
        <v>0</v>
      </c>
      <c r="M34" s="41" t="s">
        <v>660</v>
      </c>
      <c r="P34" s="44">
        <f>IF(AG34="5",J34,0)</f>
        <v>0</v>
      </c>
      <c r="R34" s="44">
        <f>IF(AG34="1",H34,0)</f>
        <v>0</v>
      </c>
      <c r="S34" s="44">
        <f>IF(AG34="1",I34,0)</f>
        <v>0</v>
      </c>
      <c r="T34" s="44">
        <f>IF(AG34="7",H34,0)</f>
        <v>0</v>
      </c>
      <c r="U34" s="44">
        <f>IF(AG34="7",I34,0)</f>
        <v>0</v>
      </c>
      <c r="V34" s="44">
        <f>IF(AG34="2",H34,0)</f>
        <v>0</v>
      </c>
      <c r="W34" s="44">
        <f>IF(AG34="2",I34,0)</f>
        <v>0</v>
      </c>
      <c r="X34" s="44">
        <f>IF(AG34="0",J34,0)</f>
        <v>0</v>
      </c>
      <c r="Y34" s="36" t="s">
        <v>145</v>
      </c>
      <c r="Z34" s="22">
        <f>IF(AD34=0,J34,0)</f>
        <v>0</v>
      </c>
      <c r="AA34" s="22">
        <f>IF(AD34=15,J34,0)</f>
        <v>0</v>
      </c>
      <c r="AB34" s="22">
        <f>IF(AD34=21,J34,0)</f>
        <v>0</v>
      </c>
      <c r="AD34" s="44">
        <v>21</v>
      </c>
      <c r="AE34" s="44">
        <f>G34*0</f>
        <v>0</v>
      </c>
      <c r="AF34" s="44">
        <f>G34*(1-0)</f>
        <v>0</v>
      </c>
      <c r="AG34" s="41" t="s">
        <v>11</v>
      </c>
      <c r="AM34" s="44">
        <f>F34*AE34</f>
        <v>0</v>
      </c>
      <c r="AN34" s="44">
        <f>F34*AF34</f>
        <v>0</v>
      </c>
      <c r="AO34" s="45" t="s">
        <v>675</v>
      </c>
      <c r="AP34" s="45" t="s">
        <v>709</v>
      </c>
      <c r="AQ34" s="36" t="s">
        <v>718</v>
      </c>
      <c r="AS34" s="44">
        <f>AM34+AN34</f>
        <v>0</v>
      </c>
      <c r="AT34" s="44">
        <f>G34/(100-AU34)*100</f>
        <v>0</v>
      </c>
      <c r="AU34" s="44">
        <v>0</v>
      </c>
      <c r="AV34" s="44">
        <f>L34</f>
        <v>0</v>
      </c>
    </row>
    <row r="35" spans="4:7" ht="12.75">
      <c r="D35" s="17" t="s">
        <v>320</v>
      </c>
      <c r="F35" s="74">
        <v>13.57</v>
      </c>
      <c r="G35" s="24"/>
    </row>
    <row r="36" spans="1:48" ht="13.5">
      <c r="A36" s="6" t="s">
        <v>16</v>
      </c>
      <c r="B36" s="6" t="s">
        <v>145</v>
      </c>
      <c r="C36" s="6" t="s">
        <v>157</v>
      </c>
      <c r="D36" s="6" t="s">
        <v>321</v>
      </c>
      <c r="E36" s="6" t="s">
        <v>630</v>
      </c>
      <c r="F36" s="73">
        <v>19.26</v>
      </c>
      <c r="G36" s="29">
        <v>0</v>
      </c>
      <c r="H36" s="22">
        <f>F36*AE36</f>
        <v>0</v>
      </c>
      <c r="I36" s="22">
        <f>J36-H36</f>
        <v>0</v>
      </c>
      <c r="J36" s="22">
        <f>F36*G36</f>
        <v>0</v>
      </c>
      <c r="K36" s="22">
        <v>0</v>
      </c>
      <c r="L36" s="22">
        <f>F36*K36</f>
        <v>0</v>
      </c>
      <c r="M36" s="41" t="s">
        <v>660</v>
      </c>
      <c r="P36" s="44">
        <f>IF(AG36="5",J36,0)</f>
        <v>0</v>
      </c>
      <c r="R36" s="44">
        <f>IF(AG36="1",H36,0)</f>
        <v>0</v>
      </c>
      <c r="S36" s="44">
        <f>IF(AG36="1",I36,0)</f>
        <v>0</v>
      </c>
      <c r="T36" s="44">
        <f>IF(AG36="7",H36,0)</f>
        <v>0</v>
      </c>
      <c r="U36" s="44">
        <f>IF(AG36="7",I36,0)</f>
        <v>0</v>
      </c>
      <c r="V36" s="44">
        <f>IF(AG36="2",H36,0)</f>
        <v>0</v>
      </c>
      <c r="W36" s="44">
        <f>IF(AG36="2",I36,0)</f>
        <v>0</v>
      </c>
      <c r="X36" s="44">
        <f>IF(AG36="0",J36,0)</f>
        <v>0</v>
      </c>
      <c r="Y36" s="36" t="s">
        <v>145</v>
      </c>
      <c r="Z36" s="22">
        <f>IF(AD36=0,J36,0)</f>
        <v>0</v>
      </c>
      <c r="AA36" s="22">
        <f>IF(AD36=15,J36,0)</f>
        <v>0</v>
      </c>
      <c r="AB36" s="22">
        <f>IF(AD36=21,J36,0)</f>
        <v>0</v>
      </c>
      <c r="AD36" s="44">
        <v>21</v>
      </c>
      <c r="AE36" s="44">
        <f>G36*0</f>
        <v>0</v>
      </c>
      <c r="AF36" s="44">
        <f>G36*(1-0)</f>
        <v>0</v>
      </c>
      <c r="AG36" s="41" t="s">
        <v>11</v>
      </c>
      <c r="AM36" s="44">
        <f>F36*AE36</f>
        <v>0</v>
      </c>
      <c r="AN36" s="44">
        <f>F36*AF36</f>
        <v>0</v>
      </c>
      <c r="AO36" s="45" t="s">
        <v>675</v>
      </c>
      <c r="AP36" s="45" t="s">
        <v>709</v>
      </c>
      <c r="AQ36" s="36" t="s">
        <v>718</v>
      </c>
      <c r="AS36" s="44">
        <f>AM36+AN36</f>
        <v>0</v>
      </c>
      <c r="AT36" s="44">
        <f>G36/(100-AU36)*100</f>
        <v>0</v>
      </c>
      <c r="AU36" s="44">
        <v>0</v>
      </c>
      <c r="AV36" s="44">
        <f>L36</f>
        <v>0</v>
      </c>
    </row>
    <row r="37" spans="4:7" ht="12.75">
      <c r="D37" s="17" t="s">
        <v>322</v>
      </c>
      <c r="F37" s="74">
        <v>5</v>
      </c>
      <c r="G37" s="24"/>
    </row>
    <row r="38" spans="4:7" ht="12.75">
      <c r="D38" s="17" t="s">
        <v>323</v>
      </c>
      <c r="F38" s="74">
        <v>0.69</v>
      </c>
      <c r="G38" s="24"/>
    </row>
    <row r="39" spans="4:7" ht="12.75">
      <c r="D39" s="17" t="s">
        <v>324</v>
      </c>
      <c r="F39" s="74">
        <v>13.57</v>
      </c>
      <c r="G39" s="24"/>
    </row>
    <row r="40" spans="1:48" ht="13.5">
      <c r="A40" s="6" t="s">
        <v>17</v>
      </c>
      <c r="B40" s="6" t="s">
        <v>145</v>
      </c>
      <c r="C40" s="6" t="s">
        <v>158</v>
      </c>
      <c r="D40" s="6" t="s">
        <v>325</v>
      </c>
      <c r="E40" s="6" t="s">
        <v>630</v>
      </c>
      <c r="F40" s="73">
        <v>174.69</v>
      </c>
      <c r="G40" s="29">
        <v>0</v>
      </c>
      <c r="H40" s="22">
        <f>F40*AE40</f>
        <v>0</v>
      </c>
      <c r="I40" s="22">
        <f>J40-H40</f>
        <v>0</v>
      </c>
      <c r="J40" s="22">
        <f>F40*G40</f>
        <v>0</v>
      </c>
      <c r="K40" s="22">
        <v>0</v>
      </c>
      <c r="L40" s="22">
        <f>F40*K40</f>
        <v>0</v>
      </c>
      <c r="M40" s="41" t="s">
        <v>660</v>
      </c>
      <c r="P40" s="44">
        <f>IF(AG40="5",J40,0)</f>
        <v>0</v>
      </c>
      <c r="R40" s="44">
        <f>IF(AG40="1",H40,0)</f>
        <v>0</v>
      </c>
      <c r="S40" s="44">
        <f>IF(AG40="1",I40,0)</f>
        <v>0</v>
      </c>
      <c r="T40" s="44">
        <f>IF(AG40="7",H40,0)</f>
        <v>0</v>
      </c>
      <c r="U40" s="44">
        <f>IF(AG40="7",I40,0)</f>
        <v>0</v>
      </c>
      <c r="V40" s="44">
        <f>IF(AG40="2",H40,0)</f>
        <v>0</v>
      </c>
      <c r="W40" s="44">
        <f>IF(AG40="2",I40,0)</f>
        <v>0</v>
      </c>
      <c r="X40" s="44">
        <f>IF(AG40="0",J40,0)</f>
        <v>0</v>
      </c>
      <c r="Y40" s="36" t="s">
        <v>145</v>
      </c>
      <c r="Z40" s="22">
        <f>IF(AD40=0,J40,0)</f>
        <v>0</v>
      </c>
      <c r="AA40" s="22">
        <f>IF(AD40=15,J40,0)</f>
        <v>0</v>
      </c>
      <c r="AB40" s="22">
        <f>IF(AD40=21,J40,0)</f>
        <v>0</v>
      </c>
      <c r="AD40" s="44">
        <v>21</v>
      </c>
      <c r="AE40" s="44">
        <f>G40*0</f>
        <v>0</v>
      </c>
      <c r="AF40" s="44">
        <f>G40*(1-0)</f>
        <v>0</v>
      </c>
      <c r="AG40" s="41" t="s">
        <v>11</v>
      </c>
      <c r="AM40" s="44">
        <f>F40*AE40</f>
        <v>0</v>
      </c>
      <c r="AN40" s="44">
        <f>F40*AF40</f>
        <v>0</v>
      </c>
      <c r="AO40" s="45" t="s">
        <v>675</v>
      </c>
      <c r="AP40" s="45" t="s">
        <v>709</v>
      </c>
      <c r="AQ40" s="36" t="s">
        <v>718</v>
      </c>
      <c r="AS40" s="44">
        <f>AM40+AN40</f>
        <v>0</v>
      </c>
      <c r="AT40" s="44">
        <f>G40/(100-AU40)*100</f>
        <v>0</v>
      </c>
      <c r="AU40" s="44">
        <v>0</v>
      </c>
      <c r="AV40" s="44">
        <f>L40</f>
        <v>0</v>
      </c>
    </row>
    <row r="41" spans="4:7" ht="12.75">
      <c r="D41" s="17" t="s">
        <v>326</v>
      </c>
      <c r="F41" s="74">
        <v>1.35</v>
      </c>
      <c r="G41" s="24"/>
    </row>
    <row r="42" spans="4:7" ht="12.75">
      <c r="D42" s="17" t="s">
        <v>327</v>
      </c>
      <c r="F42" s="74">
        <v>45</v>
      </c>
      <c r="G42" s="24"/>
    </row>
    <row r="43" spans="4:7" ht="12.75">
      <c r="D43" s="17" t="s">
        <v>328</v>
      </c>
      <c r="F43" s="74">
        <v>6.21</v>
      </c>
      <c r="G43" s="24"/>
    </row>
    <row r="44" spans="4:7" ht="12.75">
      <c r="D44" s="17" t="s">
        <v>329</v>
      </c>
      <c r="F44" s="74">
        <v>122.13</v>
      </c>
      <c r="G44" s="24"/>
    </row>
    <row r="45" spans="1:48" ht="13.5">
      <c r="A45" s="6" t="s">
        <v>18</v>
      </c>
      <c r="B45" s="6" t="s">
        <v>145</v>
      </c>
      <c r="C45" s="6" t="s">
        <v>159</v>
      </c>
      <c r="D45" s="6" t="s">
        <v>330</v>
      </c>
      <c r="E45" s="6" t="s">
        <v>630</v>
      </c>
      <c r="F45" s="73">
        <v>13.57</v>
      </c>
      <c r="G45" s="29">
        <v>0</v>
      </c>
      <c r="H45" s="22">
        <f>F45*AE45</f>
        <v>0</v>
      </c>
      <c r="I45" s="22">
        <f>J45-H45</f>
        <v>0</v>
      </c>
      <c r="J45" s="22">
        <f>F45*G45</f>
        <v>0</v>
      </c>
      <c r="K45" s="22">
        <v>0</v>
      </c>
      <c r="L45" s="22">
        <f>F45*K45</f>
        <v>0</v>
      </c>
      <c r="M45" s="41" t="s">
        <v>660</v>
      </c>
      <c r="P45" s="44">
        <f>IF(AG45="5",J45,0)</f>
        <v>0</v>
      </c>
      <c r="R45" s="44">
        <f>IF(AG45="1",H45,0)</f>
        <v>0</v>
      </c>
      <c r="S45" s="44">
        <f>IF(AG45="1",I45,0)</f>
        <v>0</v>
      </c>
      <c r="T45" s="44">
        <f>IF(AG45="7",H45,0)</f>
        <v>0</v>
      </c>
      <c r="U45" s="44">
        <f>IF(AG45="7",I45,0)</f>
        <v>0</v>
      </c>
      <c r="V45" s="44">
        <f>IF(AG45="2",H45,0)</f>
        <v>0</v>
      </c>
      <c r="W45" s="44">
        <f>IF(AG45="2",I45,0)</f>
        <v>0</v>
      </c>
      <c r="X45" s="44">
        <f>IF(AG45="0",J45,0)</f>
        <v>0</v>
      </c>
      <c r="Y45" s="36" t="s">
        <v>145</v>
      </c>
      <c r="Z45" s="22">
        <f>IF(AD45=0,J45,0)</f>
        <v>0</v>
      </c>
      <c r="AA45" s="22">
        <f>IF(AD45=15,J45,0)</f>
        <v>0</v>
      </c>
      <c r="AB45" s="22">
        <f>IF(AD45=21,J45,0)</f>
        <v>0</v>
      </c>
      <c r="AD45" s="44">
        <v>21</v>
      </c>
      <c r="AE45" s="44">
        <f>G45*0</f>
        <v>0</v>
      </c>
      <c r="AF45" s="44">
        <f>G45*(1-0)</f>
        <v>0</v>
      </c>
      <c r="AG45" s="41" t="s">
        <v>11</v>
      </c>
      <c r="AM45" s="44">
        <f>F45*AE45</f>
        <v>0</v>
      </c>
      <c r="AN45" s="44">
        <f>F45*AF45</f>
        <v>0</v>
      </c>
      <c r="AO45" s="45" t="s">
        <v>675</v>
      </c>
      <c r="AP45" s="45" t="s">
        <v>709</v>
      </c>
      <c r="AQ45" s="36" t="s">
        <v>718</v>
      </c>
      <c r="AS45" s="44">
        <f>AM45+AN45</f>
        <v>0</v>
      </c>
      <c r="AT45" s="44">
        <f>G45/(100-AU45)*100</f>
        <v>0</v>
      </c>
      <c r="AU45" s="44">
        <v>0</v>
      </c>
      <c r="AV45" s="44">
        <f>L45</f>
        <v>0</v>
      </c>
    </row>
    <row r="46" spans="4:7" ht="12.75">
      <c r="D46" s="17" t="s">
        <v>331</v>
      </c>
      <c r="F46" s="74">
        <v>13.57</v>
      </c>
      <c r="G46" s="24"/>
    </row>
    <row r="47" spans="1:48" ht="13.5">
      <c r="A47" s="6" t="s">
        <v>19</v>
      </c>
      <c r="B47" s="6" t="s">
        <v>145</v>
      </c>
      <c r="C47" s="6" t="s">
        <v>160</v>
      </c>
      <c r="D47" s="6" t="s">
        <v>332</v>
      </c>
      <c r="E47" s="6" t="s">
        <v>630</v>
      </c>
      <c r="F47" s="73">
        <v>1.79</v>
      </c>
      <c r="G47" s="29">
        <v>0</v>
      </c>
      <c r="H47" s="22">
        <f>F47*AE47</f>
        <v>0</v>
      </c>
      <c r="I47" s="22">
        <f>J47-H47</f>
        <v>0</v>
      </c>
      <c r="J47" s="22">
        <f>F47*G47</f>
        <v>0</v>
      </c>
      <c r="K47" s="22">
        <v>0</v>
      </c>
      <c r="L47" s="22">
        <f>F47*K47</f>
        <v>0</v>
      </c>
      <c r="M47" s="41" t="s">
        <v>660</v>
      </c>
      <c r="P47" s="44">
        <f>IF(AG47="5",J47,0)</f>
        <v>0</v>
      </c>
      <c r="R47" s="44">
        <f>IF(AG47="1",H47,0)</f>
        <v>0</v>
      </c>
      <c r="S47" s="44">
        <f>IF(AG47="1",I47,0)</f>
        <v>0</v>
      </c>
      <c r="T47" s="44">
        <f>IF(AG47="7",H47,0)</f>
        <v>0</v>
      </c>
      <c r="U47" s="44">
        <f>IF(AG47="7",I47,0)</f>
        <v>0</v>
      </c>
      <c r="V47" s="44">
        <f>IF(AG47="2",H47,0)</f>
        <v>0</v>
      </c>
      <c r="W47" s="44">
        <f>IF(AG47="2",I47,0)</f>
        <v>0</v>
      </c>
      <c r="X47" s="44">
        <f>IF(AG47="0",J47,0)</f>
        <v>0</v>
      </c>
      <c r="Y47" s="36" t="s">
        <v>145</v>
      </c>
      <c r="Z47" s="22">
        <f>IF(AD47=0,J47,0)</f>
        <v>0</v>
      </c>
      <c r="AA47" s="22">
        <f>IF(AD47=15,J47,0)</f>
        <v>0</v>
      </c>
      <c r="AB47" s="22">
        <f>IF(AD47=21,J47,0)</f>
        <v>0</v>
      </c>
      <c r="AD47" s="44">
        <v>21</v>
      </c>
      <c r="AE47" s="44">
        <f>G47*0</f>
        <v>0</v>
      </c>
      <c r="AF47" s="44">
        <f>G47*(1-0)</f>
        <v>0</v>
      </c>
      <c r="AG47" s="41" t="s">
        <v>11</v>
      </c>
      <c r="AM47" s="44">
        <f>F47*AE47</f>
        <v>0</v>
      </c>
      <c r="AN47" s="44">
        <f>F47*AF47</f>
        <v>0</v>
      </c>
      <c r="AO47" s="45" t="s">
        <v>675</v>
      </c>
      <c r="AP47" s="45" t="s">
        <v>709</v>
      </c>
      <c r="AQ47" s="36" t="s">
        <v>718</v>
      </c>
      <c r="AS47" s="44">
        <f>AM47+AN47</f>
        <v>0</v>
      </c>
      <c r="AT47" s="44">
        <f>G47/(100-AU47)*100</f>
        <v>0</v>
      </c>
      <c r="AU47" s="44">
        <v>0</v>
      </c>
      <c r="AV47" s="44">
        <f>L47</f>
        <v>0</v>
      </c>
    </row>
    <row r="48" spans="4:7" ht="12.75">
      <c r="D48" s="17" t="s">
        <v>333</v>
      </c>
      <c r="F48" s="74">
        <v>1.79</v>
      </c>
      <c r="G48" s="24"/>
    </row>
    <row r="49" spans="1:48" ht="13.5">
      <c r="A49" s="6" t="s">
        <v>20</v>
      </c>
      <c r="B49" s="6" t="s">
        <v>145</v>
      </c>
      <c r="C49" s="6" t="s">
        <v>161</v>
      </c>
      <c r="D49" s="6" t="s">
        <v>334</v>
      </c>
      <c r="E49" s="6" t="s">
        <v>630</v>
      </c>
      <c r="F49" s="73">
        <v>0.25</v>
      </c>
      <c r="G49" s="29">
        <v>0</v>
      </c>
      <c r="H49" s="22">
        <f>F49*AE49</f>
        <v>0</v>
      </c>
      <c r="I49" s="22">
        <f>J49-H49</f>
        <v>0</v>
      </c>
      <c r="J49" s="22">
        <f>F49*G49</f>
        <v>0</v>
      </c>
      <c r="K49" s="22">
        <v>0</v>
      </c>
      <c r="L49" s="22">
        <f>F49*K49</f>
        <v>0</v>
      </c>
      <c r="M49" s="41"/>
      <c r="P49" s="44">
        <f>IF(AG49="5",J49,0)</f>
        <v>0</v>
      </c>
      <c r="R49" s="44">
        <f>IF(AG49="1",H49,0)</f>
        <v>0</v>
      </c>
      <c r="S49" s="44">
        <f>IF(AG49="1",I49,0)</f>
        <v>0</v>
      </c>
      <c r="T49" s="44">
        <f>IF(AG49="7",H49,0)</f>
        <v>0</v>
      </c>
      <c r="U49" s="44">
        <f>IF(AG49="7",I49,0)</f>
        <v>0</v>
      </c>
      <c r="V49" s="44">
        <f>IF(AG49="2",H49,0)</f>
        <v>0</v>
      </c>
      <c r="W49" s="44">
        <f>IF(AG49="2",I49,0)</f>
        <v>0</v>
      </c>
      <c r="X49" s="44">
        <f>IF(AG49="0",J49,0)</f>
        <v>0</v>
      </c>
      <c r="Y49" s="36" t="s">
        <v>145</v>
      </c>
      <c r="Z49" s="22">
        <f>IF(AD49=0,J49,0)</f>
        <v>0</v>
      </c>
      <c r="AA49" s="22">
        <f>IF(AD49=15,J49,0)</f>
        <v>0</v>
      </c>
      <c r="AB49" s="22">
        <f>IF(AD49=21,J49,0)</f>
        <v>0</v>
      </c>
      <c r="AD49" s="44">
        <v>21</v>
      </c>
      <c r="AE49" s="44">
        <f>G49*0</f>
        <v>0</v>
      </c>
      <c r="AF49" s="44">
        <f>G49*(1-0)</f>
        <v>0</v>
      </c>
      <c r="AG49" s="41" t="s">
        <v>7</v>
      </c>
      <c r="AM49" s="44">
        <f>F49*AE49</f>
        <v>0</v>
      </c>
      <c r="AN49" s="44">
        <f>F49*AF49</f>
        <v>0</v>
      </c>
      <c r="AO49" s="45" t="s">
        <v>675</v>
      </c>
      <c r="AP49" s="45" t="s">
        <v>709</v>
      </c>
      <c r="AQ49" s="36" t="s">
        <v>718</v>
      </c>
      <c r="AS49" s="44">
        <f>AM49+AN49</f>
        <v>0</v>
      </c>
      <c r="AT49" s="44">
        <f>G49/(100-AU49)*100</f>
        <v>0</v>
      </c>
      <c r="AU49" s="44">
        <v>0</v>
      </c>
      <c r="AV49" s="44">
        <f>L49</f>
        <v>0</v>
      </c>
    </row>
    <row r="50" spans="4:7" ht="12.75">
      <c r="D50" s="17" t="s">
        <v>335</v>
      </c>
      <c r="F50" s="74">
        <v>0.25</v>
      </c>
      <c r="G50" s="24"/>
    </row>
    <row r="51" spans="1:48" ht="13.5">
      <c r="A51" s="6" t="s">
        <v>21</v>
      </c>
      <c r="B51" s="6" t="s">
        <v>145</v>
      </c>
      <c r="C51" s="6" t="s">
        <v>162</v>
      </c>
      <c r="D51" s="6" t="s">
        <v>336</v>
      </c>
      <c r="E51" s="6" t="s">
        <v>631</v>
      </c>
      <c r="F51" s="73">
        <v>5</v>
      </c>
      <c r="G51" s="29">
        <v>0</v>
      </c>
      <c r="H51" s="22">
        <f>F51*AE51</f>
        <v>0</v>
      </c>
      <c r="I51" s="22">
        <f>J51-H51</f>
        <v>0</v>
      </c>
      <c r="J51" s="22">
        <f>F51*G51</f>
        <v>0</v>
      </c>
      <c r="K51" s="22">
        <v>0</v>
      </c>
      <c r="L51" s="22">
        <f>F51*K51</f>
        <v>0</v>
      </c>
      <c r="M51" s="41" t="s">
        <v>660</v>
      </c>
      <c r="P51" s="44">
        <f>IF(AG51="5",J51,0)</f>
        <v>0</v>
      </c>
      <c r="R51" s="44">
        <f>IF(AG51="1",H51,0)</f>
        <v>0</v>
      </c>
      <c r="S51" s="44">
        <f>IF(AG51="1",I51,0)</f>
        <v>0</v>
      </c>
      <c r="T51" s="44">
        <f>IF(AG51="7",H51,0)</f>
        <v>0</v>
      </c>
      <c r="U51" s="44">
        <f>IF(AG51="7",I51,0)</f>
        <v>0</v>
      </c>
      <c r="V51" s="44">
        <f>IF(AG51="2",H51,0)</f>
        <v>0</v>
      </c>
      <c r="W51" s="44">
        <f>IF(AG51="2",I51,0)</f>
        <v>0</v>
      </c>
      <c r="X51" s="44">
        <f>IF(AG51="0",J51,0)</f>
        <v>0</v>
      </c>
      <c r="Y51" s="36" t="s">
        <v>145</v>
      </c>
      <c r="Z51" s="22">
        <f>IF(AD51=0,J51,0)</f>
        <v>0</v>
      </c>
      <c r="AA51" s="22">
        <f>IF(AD51=15,J51,0)</f>
        <v>0</v>
      </c>
      <c r="AB51" s="22">
        <f>IF(AD51=21,J51,0)</f>
        <v>0</v>
      </c>
      <c r="AD51" s="44">
        <v>21</v>
      </c>
      <c r="AE51" s="44">
        <f>G51*0</f>
        <v>0</v>
      </c>
      <c r="AF51" s="44">
        <f>G51*(1-0)</f>
        <v>0</v>
      </c>
      <c r="AG51" s="41" t="s">
        <v>7</v>
      </c>
      <c r="AM51" s="44">
        <f>F51*AE51</f>
        <v>0</v>
      </c>
      <c r="AN51" s="44">
        <f>F51*AF51</f>
        <v>0</v>
      </c>
      <c r="AO51" s="45" t="s">
        <v>675</v>
      </c>
      <c r="AP51" s="45" t="s">
        <v>709</v>
      </c>
      <c r="AQ51" s="36" t="s">
        <v>718</v>
      </c>
      <c r="AS51" s="44">
        <f>AM51+AN51</f>
        <v>0</v>
      </c>
      <c r="AT51" s="44">
        <f>G51/(100-AU51)*100</f>
        <v>0</v>
      </c>
      <c r="AU51" s="44">
        <v>0</v>
      </c>
      <c r="AV51" s="44">
        <f>L51</f>
        <v>0</v>
      </c>
    </row>
    <row r="52" spans="4:7" ht="12.75">
      <c r="D52" s="17" t="s">
        <v>337</v>
      </c>
      <c r="F52" s="74">
        <v>5</v>
      </c>
      <c r="G52" s="24"/>
    </row>
    <row r="53" spans="1:48" ht="13.5">
      <c r="A53" s="6" t="s">
        <v>22</v>
      </c>
      <c r="B53" s="6" t="s">
        <v>145</v>
      </c>
      <c r="C53" s="6" t="s">
        <v>163</v>
      </c>
      <c r="D53" s="6" t="s">
        <v>338</v>
      </c>
      <c r="E53" s="6" t="s">
        <v>630</v>
      </c>
      <c r="F53" s="73">
        <v>5</v>
      </c>
      <c r="G53" s="29">
        <v>0</v>
      </c>
      <c r="H53" s="22">
        <f>F53*AE53</f>
        <v>0</v>
      </c>
      <c r="I53" s="22">
        <f>J53-H53</f>
        <v>0</v>
      </c>
      <c r="J53" s="22">
        <f>F53*G53</f>
        <v>0</v>
      </c>
      <c r="K53" s="22">
        <v>0</v>
      </c>
      <c r="L53" s="22">
        <f>F53*K53</f>
        <v>0</v>
      </c>
      <c r="M53" s="41" t="s">
        <v>660</v>
      </c>
      <c r="P53" s="44">
        <f>IF(AG53="5",J53,0)</f>
        <v>0</v>
      </c>
      <c r="R53" s="44">
        <f>IF(AG53="1",H53,0)</f>
        <v>0</v>
      </c>
      <c r="S53" s="44">
        <f>IF(AG53="1",I53,0)</f>
        <v>0</v>
      </c>
      <c r="T53" s="44">
        <f>IF(AG53="7",H53,0)</f>
        <v>0</v>
      </c>
      <c r="U53" s="44">
        <f>IF(AG53="7",I53,0)</f>
        <v>0</v>
      </c>
      <c r="V53" s="44">
        <f>IF(AG53="2",H53,0)</f>
        <v>0</v>
      </c>
      <c r="W53" s="44">
        <f>IF(AG53="2",I53,0)</f>
        <v>0</v>
      </c>
      <c r="X53" s="44">
        <f>IF(AG53="0",J53,0)</f>
        <v>0</v>
      </c>
      <c r="Y53" s="36" t="s">
        <v>145</v>
      </c>
      <c r="Z53" s="22">
        <f>IF(AD53=0,J53,0)</f>
        <v>0</v>
      </c>
      <c r="AA53" s="22">
        <f>IF(AD53=15,J53,0)</f>
        <v>0</v>
      </c>
      <c r="AB53" s="22">
        <f>IF(AD53=21,J53,0)</f>
        <v>0</v>
      </c>
      <c r="AD53" s="44">
        <v>21</v>
      </c>
      <c r="AE53" s="44">
        <f>G53*0</f>
        <v>0</v>
      </c>
      <c r="AF53" s="44">
        <f>G53*(1-0)</f>
        <v>0</v>
      </c>
      <c r="AG53" s="41" t="s">
        <v>11</v>
      </c>
      <c r="AM53" s="44">
        <f>F53*AE53</f>
        <v>0</v>
      </c>
      <c r="AN53" s="44">
        <f>F53*AF53</f>
        <v>0</v>
      </c>
      <c r="AO53" s="45" t="s">
        <v>675</v>
      </c>
      <c r="AP53" s="45" t="s">
        <v>709</v>
      </c>
      <c r="AQ53" s="36" t="s">
        <v>718</v>
      </c>
      <c r="AS53" s="44">
        <f>AM53+AN53</f>
        <v>0</v>
      </c>
      <c r="AT53" s="44">
        <f>G53/(100-AU53)*100</f>
        <v>0</v>
      </c>
      <c r="AU53" s="44">
        <v>0</v>
      </c>
      <c r="AV53" s="44">
        <f>L53</f>
        <v>0</v>
      </c>
    </row>
    <row r="54" spans="4:7" ht="12.75">
      <c r="D54" s="17" t="s">
        <v>339</v>
      </c>
      <c r="F54" s="74">
        <v>5</v>
      </c>
      <c r="G54" s="24"/>
    </row>
    <row r="55" spans="1:48" ht="13.5">
      <c r="A55" s="6" t="s">
        <v>23</v>
      </c>
      <c r="B55" s="6" t="s">
        <v>145</v>
      </c>
      <c r="C55" s="6" t="s">
        <v>154</v>
      </c>
      <c r="D55" s="6" t="s">
        <v>313</v>
      </c>
      <c r="E55" s="6" t="s">
        <v>627</v>
      </c>
      <c r="F55" s="73">
        <v>1.2</v>
      </c>
      <c r="G55" s="29">
        <v>0</v>
      </c>
      <c r="H55" s="22">
        <f>F55*AE55</f>
        <v>0</v>
      </c>
      <c r="I55" s="22">
        <f>J55-H55</f>
        <v>0</v>
      </c>
      <c r="J55" s="22">
        <f>F55*G55</f>
        <v>0</v>
      </c>
      <c r="K55" s="22">
        <v>0.088</v>
      </c>
      <c r="L55" s="22">
        <f>F55*K55</f>
        <v>0.10559999999999999</v>
      </c>
      <c r="M55" s="41" t="s">
        <v>660</v>
      </c>
      <c r="P55" s="44">
        <f>IF(AG55="5",J55,0)</f>
        <v>0</v>
      </c>
      <c r="R55" s="44">
        <f>IF(AG55="1",H55,0)</f>
        <v>0</v>
      </c>
      <c r="S55" s="44">
        <f>IF(AG55="1",I55,0)</f>
        <v>0</v>
      </c>
      <c r="T55" s="44">
        <f>IF(AG55="7",H55,0)</f>
        <v>0</v>
      </c>
      <c r="U55" s="44">
        <f>IF(AG55="7",I55,0)</f>
        <v>0</v>
      </c>
      <c r="V55" s="44">
        <f>IF(AG55="2",H55,0)</f>
        <v>0</v>
      </c>
      <c r="W55" s="44">
        <f>IF(AG55="2",I55,0)</f>
        <v>0</v>
      </c>
      <c r="X55" s="44">
        <f>IF(AG55="0",J55,0)</f>
        <v>0</v>
      </c>
      <c r="Y55" s="36" t="s">
        <v>145</v>
      </c>
      <c r="Z55" s="22">
        <f>IF(AD55=0,J55,0)</f>
        <v>0</v>
      </c>
      <c r="AA55" s="22">
        <f>IF(AD55=15,J55,0)</f>
        <v>0</v>
      </c>
      <c r="AB55" s="22">
        <f>IF(AD55=21,J55,0)</f>
        <v>0</v>
      </c>
      <c r="AD55" s="44">
        <v>21</v>
      </c>
      <c r="AE55" s="44">
        <f>G55*0</f>
        <v>0</v>
      </c>
      <c r="AF55" s="44">
        <f>G55*(1-0)</f>
        <v>0</v>
      </c>
      <c r="AG55" s="41" t="s">
        <v>7</v>
      </c>
      <c r="AM55" s="44">
        <f>F55*AE55</f>
        <v>0</v>
      </c>
      <c r="AN55" s="44">
        <f>F55*AF55</f>
        <v>0</v>
      </c>
      <c r="AO55" s="45" t="s">
        <v>675</v>
      </c>
      <c r="AP55" s="45" t="s">
        <v>709</v>
      </c>
      <c r="AQ55" s="36" t="s">
        <v>718</v>
      </c>
      <c r="AS55" s="44">
        <f>AM55+AN55</f>
        <v>0</v>
      </c>
      <c r="AT55" s="44">
        <f>G55/(100-AU55)*100</f>
        <v>0</v>
      </c>
      <c r="AU55" s="44">
        <v>0</v>
      </c>
      <c r="AV55" s="44">
        <f>L55</f>
        <v>0.10559999999999999</v>
      </c>
    </row>
    <row r="56" spans="4:7" ht="12.75">
      <c r="D56" s="18" t="s">
        <v>314</v>
      </c>
      <c r="G56" s="24"/>
    </row>
    <row r="57" spans="4:7" ht="12.75">
      <c r="D57" s="17" t="s">
        <v>340</v>
      </c>
      <c r="F57" s="74">
        <v>1.2</v>
      </c>
      <c r="G57" s="24"/>
    </row>
    <row r="58" spans="1:37" ht="13.5">
      <c r="A58" s="5"/>
      <c r="B58" s="14" t="s">
        <v>145</v>
      </c>
      <c r="C58" s="14" t="s">
        <v>18</v>
      </c>
      <c r="D58" s="14" t="s">
        <v>341</v>
      </c>
      <c r="E58" s="5" t="s">
        <v>6</v>
      </c>
      <c r="F58" s="5" t="s">
        <v>6</v>
      </c>
      <c r="G58" s="28" t="s">
        <v>6</v>
      </c>
      <c r="H58" s="47">
        <f>SUM(H59:H70)</f>
        <v>0</v>
      </c>
      <c r="I58" s="47">
        <f>SUM(I59:I70)</f>
        <v>0</v>
      </c>
      <c r="J58" s="47">
        <f>H58+I58</f>
        <v>0</v>
      </c>
      <c r="K58" s="36"/>
      <c r="L58" s="47">
        <f>SUM(L59:L70)</f>
        <v>0</v>
      </c>
      <c r="M58" s="36"/>
      <c r="Y58" s="36" t="s">
        <v>145</v>
      </c>
      <c r="AI58" s="47">
        <f>SUM(Z59:Z70)</f>
        <v>0</v>
      </c>
      <c r="AJ58" s="47">
        <f>SUM(AA59:AA70)</f>
        <v>0</v>
      </c>
      <c r="AK58" s="47">
        <f>SUM(AB59:AB70)</f>
        <v>0</v>
      </c>
    </row>
    <row r="59" spans="1:48" ht="13.5">
      <c r="A59" s="6" t="s">
        <v>24</v>
      </c>
      <c r="B59" s="6" t="s">
        <v>145</v>
      </c>
      <c r="C59" s="6" t="s">
        <v>164</v>
      </c>
      <c r="D59" s="6" t="s">
        <v>342</v>
      </c>
      <c r="E59" s="6" t="s">
        <v>629</v>
      </c>
      <c r="F59" s="73">
        <v>122.2</v>
      </c>
      <c r="G59" s="29">
        <v>0</v>
      </c>
      <c r="H59" s="22">
        <f>F59*AE59</f>
        <v>0</v>
      </c>
      <c r="I59" s="22">
        <f>J59-H59</f>
        <v>0</v>
      </c>
      <c r="J59" s="22">
        <f>F59*G59</f>
        <v>0</v>
      </c>
      <c r="K59" s="22">
        <v>0</v>
      </c>
      <c r="L59" s="22">
        <f>F59*K59</f>
        <v>0</v>
      </c>
      <c r="M59" s="41" t="s">
        <v>660</v>
      </c>
      <c r="P59" s="44">
        <f>IF(AG59="5",J59,0)</f>
        <v>0</v>
      </c>
      <c r="R59" s="44">
        <f>IF(AG59="1",H59,0)</f>
        <v>0</v>
      </c>
      <c r="S59" s="44">
        <f>IF(AG59="1",I59,0)</f>
        <v>0</v>
      </c>
      <c r="T59" s="44">
        <f>IF(AG59="7",H59,0)</f>
        <v>0</v>
      </c>
      <c r="U59" s="44">
        <f>IF(AG59="7",I59,0)</f>
        <v>0</v>
      </c>
      <c r="V59" s="44">
        <f>IF(AG59="2",H59,0)</f>
        <v>0</v>
      </c>
      <c r="W59" s="44">
        <f>IF(AG59="2",I59,0)</f>
        <v>0</v>
      </c>
      <c r="X59" s="44">
        <f>IF(AG59="0",J59,0)</f>
        <v>0</v>
      </c>
      <c r="Y59" s="36" t="s">
        <v>145</v>
      </c>
      <c r="Z59" s="22">
        <f>IF(AD59=0,J59,0)</f>
        <v>0</v>
      </c>
      <c r="AA59" s="22">
        <f>IF(AD59=15,J59,0)</f>
        <v>0</v>
      </c>
      <c r="AB59" s="22">
        <f>IF(AD59=21,J59,0)</f>
        <v>0</v>
      </c>
      <c r="AD59" s="44">
        <v>21</v>
      </c>
      <c r="AE59" s="44">
        <f>G59*0</f>
        <v>0</v>
      </c>
      <c r="AF59" s="44">
        <f>G59*(1-0)</f>
        <v>0</v>
      </c>
      <c r="AG59" s="41" t="s">
        <v>7</v>
      </c>
      <c r="AM59" s="44">
        <f>F59*AE59</f>
        <v>0</v>
      </c>
      <c r="AN59" s="44">
        <f>F59*AF59</f>
        <v>0</v>
      </c>
      <c r="AO59" s="45" t="s">
        <v>676</v>
      </c>
      <c r="AP59" s="45" t="s">
        <v>709</v>
      </c>
      <c r="AQ59" s="36" t="s">
        <v>718</v>
      </c>
      <c r="AS59" s="44">
        <f>AM59+AN59</f>
        <v>0</v>
      </c>
      <c r="AT59" s="44">
        <f>G59/(100-AU59)*100</f>
        <v>0</v>
      </c>
      <c r="AU59" s="44">
        <v>0</v>
      </c>
      <c r="AV59" s="44">
        <f>L59</f>
        <v>0</v>
      </c>
    </row>
    <row r="60" spans="4:7" ht="12.75">
      <c r="D60" s="17" t="s">
        <v>343</v>
      </c>
      <c r="F60" s="74">
        <v>122.2</v>
      </c>
      <c r="G60" s="24"/>
    </row>
    <row r="61" spans="1:48" ht="13.5">
      <c r="A61" s="6" t="s">
        <v>25</v>
      </c>
      <c r="B61" s="6" t="s">
        <v>145</v>
      </c>
      <c r="C61" s="6" t="s">
        <v>165</v>
      </c>
      <c r="D61" s="6" t="s">
        <v>344</v>
      </c>
      <c r="E61" s="6" t="s">
        <v>629</v>
      </c>
      <c r="F61" s="73">
        <v>135.2</v>
      </c>
      <c r="G61" s="29">
        <v>0</v>
      </c>
      <c r="H61" s="22">
        <f>F61*AE61</f>
        <v>0</v>
      </c>
      <c r="I61" s="22">
        <f>J61-H61</f>
        <v>0</v>
      </c>
      <c r="J61" s="22">
        <f>F61*G61</f>
        <v>0</v>
      </c>
      <c r="K61" s="22">
        <v>0</v>
      </c>
      <c r="L61" s="22">
        <f>F61*K61</f>
        <v>0</v>
      </c>
      <c r="M61" s="41" t="s">
        <v>660</v>
      </c>
      <c r="P61" s="44">
        <f>IF(AG61="5",J61,0)</f>
        <v>0</v>
      </c>
      <c r="R61" s="44">
        <f>IF(AG61="1",H61,0)</f>
        <v>0</v>
      </c>
      <c r="S61" s="44">
        <f>IF(AG61="1",I61,0)</f>
        <v>0</v>
      </c>
      <c r="T61" s="44">
        <f>IF(AG61="7",H61,0)</f>
        <v>0</v>
      </c>
      <c r="U61" s="44">
        <f>IF(AG61="7",I61,0)</f>
        <v>0</v>
      </c>
      <c r="V61" s="44">
        <f>IF(AG61="2",H61,0)</f>
        <v>0</v>
      </c>
      <c r="W61" s="44">
        <f>IF(AG61="2",I61,0)</f>
        <v>0</v>
      </c>
      <c r="X61" s="44">
        <f>IF(AG61="0",J61,0)</f>
        <v>0</v>
      </c>
      <c r="Y61" s="36" t="s">
        <v>145</v>
      </c>
      <c r="Z61" s="22">
        <f>IF(AD61=0,J61,0)</f>
        <v>0</v>
      </c>
      <c r="AA61" s="22">
        <f>IF(AD61=15,J61,0)</f>
        <v>0</v>
      </c>
      <c r="AB61" s="22">
        <f>IF(AD61=21,J61,0)</f>
        <v>0</v>
      </c>
      <c r="AD61" s="44">
        <v>21</v>
      </c>
      <c r="AE61" s="44">
        <f>G61*0</f>
        <v>0</v>
      </c>
      <c r="AF61" s="44">
        <f>G61*(1-0)</f>
        <v>0</v>
      </c>
      <c r="AG61" s="41" t="s">
        <v>7</v>
      </c>
      <c r="AM61" s="44">
        <f>F61*AE61</f>
        <v>0</v>
      </c>
      <c r="AN61" s="44">
        <f>F61*AF61</f>
        <v>0</v>
      </c>
      <c r="AO61" s="45" t="s">
        <v>676</v>
      </c>
      <c r="AP61" s="45" t="s">
        <v>709</v>
      </c>
      <c r="AQ61" s="36" t="s">
        <v>718</v>
      </c>
      <c r="AS61" s="44">
        <f>AM61+AN61</f>
        <v>0</v>
      </c>
      <c r="AT61" s="44">
        <f>G61/(100-AU61)*100</f>
        <v>0</v>
      </c>
      <c r="AU61" s="44">
        <v>0</v>
      </c>
      <c r="AV61" s="44">
        <f>L61</f>
        <v>0</v>
      </c>
    </row>
    <row r="62" spans="4:7" ht="12.75">
      <c r="D62" s="17" t="s">
        <v>343</v>
      </c>
      <c r="F62" s="74">
        <v>122.2</v>
      </c>
      <c r="G62" s="24"/>
    </row>
    <row r="63" spans="4:7" ht="12.75">
      <c r="D63" s="17" t="s">
        <v>345</v>
      </c>
      <c r="F63" s="74">
        <v>13</v>
      </c>
      <c r="G63" s="24"/>
    </row>
    <row r="64" spans="1:48" ht="13.5">
      <c r="A64" s="6" t="s">
        <v>26</v>
      </c>
      <c r="B64" s="6" t="s">
        <v>145</v>
      </c>
      <c r="C64" s="6" t="s">
        <v>166</v>
      </c>
      <c r="D64" s="6" t="s">
        <v>346</v>
      </c>
      <c r="E64" s="6" t="s">
        <v>629</v>
      </c>
      <c r="F64" s="73">
        <v>227.35</v>
      </c>
      <c r="G64" s="29">
        <v>0</v>
      </c>
      <c r="H64" s="22">
        <f>F64*AE64</f>
        <v>0</v>
      </c>
      <c r="I64" s="22">
        <f>J64-H64</f>
        <v>0</v>
      </c>
      <c r="J64" s="22">
        <f>F64*G64</f>
        <v>0</v>
      </c>
      <c r="K64" s="22">
        <v>0</v>
      </c>
      <c r="L64" s="22">
        <f>F64*K64</f>
        <v>0</v>
      </c>
      <c r="M64" s="41" t="s">
        <v>660</v>
      </c>
      <c r="P64" s="44">
        <f>IF(AG64="5",J64,0)</f>
        <v>0</v>
      </c>
      <c r="R64" s="44">
        <f>IF(AG64="1",H64,0)</f>
        <v>0</v>
      </c>
      <c r="S64" s="44">
        <f>IF(AG64="1",I64,0)</f>
        <v>0</v>
      </c>
      <c r="T64" s="44">
        <f>IF(AG64="7",H64,0)</f>
        <v>0</v>
      </c>
      <c r="U64" s="44">
        <f>IF(AG64="7",I64,0)</f>
        <v>0</v>
      </c>
      <c r="V64" s="44">
        <f>IF(AG64="2",H64,0)</f>
        <v>0</v>
      </c>
      <c r="W64" s="44">
        <f>IF(AG64="2",I64,0)</f>
        <v>0</v>
      </c>
      <c r="X64" s="44">
        <f>IF(AG64="0",J64,0)</f>
        <v>0</v>
      </c>
      <c r="Y64" s="36" t="s">
        <v>145</v>
      </c>
      <c r="Z64" s="22">
        <f>IF(AD64=0,J64,0)</f>
        <v>0</v>
      </c>
      <c r="AA64" s="22">
        <f>IF(AD64=15,J64,0)</f>
        <v>0</v>
      </c>
      <c r="AB64" s="22">
        <f>IF(AD64=21,J64,0)</f>
        <v>0</v>
      </c>
      <c r="AD64" s="44">
        <v>21</v>
      </c>
      <c r="AE64" s="44">
        <f>G64*0</f>
        <v>0</v>
      </c>
      <c r="AF64" s="44">
        <f>G64*(1-0)</f>
        <v>0</v>
      </c>
      <c r="AG64" s="41" t="s">
        <v>7</v>
      </c>
      <c r="AM64" s="44">
        <f>F64*AE64</f>
        <v>0</v>
      </c>
      <c r="AN64" s="44">
        <f>F64*AF64</f>
        <v>0</v>
      </c>
      <c r="AO64" s="45" t="s">
        <v>676</v>
      </c>
      <c r="AP64" s="45" t="s">
        <v>709</v>
      </c>
      <c r="AQ64" s="36" t="s">
        <v>718</v>
      </c>
      <c r="AS64" s="44">
        <f>AM64+AN64</f>
        <v>0</v>
      </c>
      <c r="AT64" s="44">
        <f>G64/(100-AU64)*100</f>
        <v>0</v>
      </c>
      <c r="AU64" s="44">
        <v>0</v>
      </c>
      <c r="AV64" s="44">
        <f>L64</f>
        <v>0</v>
      </c>
    </row>
    <row r="65" spans="4:7" ht="12.75">
      <c r="D65" s="17" t="s">
        <v>347</v>
      </c>
      <c r="F65" s="74">
        <v>139.95</v>
      </c>
      <c r="G65" s="24"/>
    </row>
    <row r="66" spans="4:7" ht="12.75">
      <c r="D66" s="17" t="s">
        <v>348</v>
      </c>
      <c r="F66" s="74">
        <v>87.4</v>
      </c>
      <c r="G66" s="24"/>
    </row>
    <row r="67" spans="1:48" ht="13.5">
      <c r="A67" s="6" t="s">
        <v>27</v>
      </c>
      <c r="B67" s="6" t="s">
        <v>145</v>
      </c>
      <c r="C67" s="6" t="s">
        <v>167</v>
      </c>
      <c r="D67" s="6" t="s">
        <v>349</v>
      </c>
      <c r="E67" s="6" t="s">
        <v>629</v>
      </c>
      <c r="F67" s="73">
        <v>68.205</v>
      </c>
      <c r="G67" s="29">
        <v>0</v>
      </c>
      <c r="H67" s="22">
        <f>F67*AE67</f>
        <v>0</v>
      </c>
      <c r="I67" s="22">
        <f>J67-H67</f>
        <v>0</v>
      </c>
      <c r="J67" s="22">
        <f>F67*G67</f>
        <v>0</v>
      </c>
      <c r="K67" s="22">
        <v>0</v>
      </c>
      <c r="L67" s="22">
        <f>F67*K67</f>
        <v>0</v>
      </c>
      <c r="M67" s="41" t="s">
        <v>660</v>
      </c>
      <c r="P67" s="44">
        <f>IF(AG67="5",J67,0)</f>
        <v>0</v>
      </c>
      <c r="R67" s="44">
        <f>IF(AG67="1",H67,0)</f>
        <v>0</v>
      </c>
      <c r="S67" s="44">
        <f>IF(AG67="1",I67,0)</f>
        <v>0</v>
      </c>
      <c r="T67" s="44">
        <f>IF(AG67="7",H67,0)</f>
        <v>0</v>
      </c>
      <c r="U67" s="44">
        <f>IF(AG67="7",I67,0)</f>
        <v>0</v>
      </c>
      <c r="V67" s="44">
        <f>IF(AG67="2",H67,0)</f>
        <v>0</v>
      </c>
      <c r="W67" s="44">
        <f>IF(AG67="2",I67,0)</f>
        <v>0</v>
      </c>
      <c r="X67" s="44">
        <f>IF(AG67="0",J67,0)</f>
        <v>0</v>
      </c>
      <c r="Y67" s="36" t="s">
        <v>145</v>
      </c>
      <c r="Z67" s="22">
        <f>IF(AD67=0,J67,0)</f>
        <v>0</v>
      </c>
      <c r="AA67" s="22">
        <f>IF(AD67=15,J67,0)</f>
        <v>0</v>
      </c>
      <c r="AB67" s="22">
        <f>IF(AD67=21,J67,0)</f>
        <v>0</v>
      </c>
      <c r="AD67" s="44">
        <v>21</v>
      </c>
      <c r="AE67" s="44">
        <f>G67*0</f>
        <v>0</v>
      </c>
      <c r="AF67" s="44">
        <f>G67*(1-0)</f>
        <v>0</v>
      </c>
      <c r="AG67" s="41" t="s">
        <v>7</v>
      </c>
      <c r="AM67" s="44">
        <f>F67*AE67</f>
        <v>0</v>
      </c>
      <c r="AN67" s="44">
        <f>F67*AF67</f>
        <v>0</v>
      </c>
      <c r="AO67" s="45" t="s">
        <v>676</v>
      </c>
      <c r="AP67" s="45" t="s">
        <v>709</v>
      </c>
      <c r="AQ67" s="36" t="s">
        <v>718</v>
      </c>
      <c r="AS67" s="44">
        <f>AM67+AN67</f>
        <v>0</v>
      </c>
      <c r="AT67" s="44">
        <f>G67/(100-AU67)*100</f>
        <v>0</v>
      </c>
      <c r="AU67" s="44">
        <v>0</v>
      </c>
      <c r="AV67" s="44">
        <f>L67</f>
        <v>0</v>
      </c>
    </row>
    <row r="68" spans="4:7" ht="12.75">
      <c r="D68" s="17" t="s">
        <v>350</v>
      </c>
      <c r="F68" s="74">
        <v>41.985</v>
      </c>
      <c r="G68" s="24"/>
    </row>
    <row r="69" spans="4:7" ht="12.75">
      <c r="D69" s="17" t="s">
        <v>351</v>
      </c>
      <c r="F69" s="74">
        <v>26.22</v>
      </c>
      <c r="G69" s="24"/>
    </row>
    <row r="70" spans="1:48" ht="13.5">
      <c r="A70" s="6" t="s">
        <v>28</v>
      </c>
      <c r="B70" s="6" t="s">
        <v>145</v>
      </c>
      <c r="C70" s="6" t="s">
        <v>168</v>
      </c>
      <c r="D70" s="6" t="s">
        <v>352</v>
      </c>
      <c r="E70" s="6" t="s">
        <v>629</v>
      </c>
      <c r="F70" s="73">
        <v>36.909</v>
      </c>
      <c r="G70" s="29">
        <v>0</v>
      </c>
      <c r="H70" s="22">
        <f>F70*AE70</f>
        <v>0</v>
      </c>
      <c r="I70" s="22">
        <f>J70-H70</f>
        <v>0</v>
      </c>
      <c r="J70" s="22">
        <f>F70*G70</f>
        <v>0</v>
      </c>
      <c r="K70" s="22">
        <v>0</v>
      </c>
      <c r="L70" s="22">
        <f>F70*K70</f>
        <v>0</v>
      </c>
      <c r="M70" s="41" t="s">
        <v>660</v>
      </c>
      <c r="P70" s="44">
        <f>IF(AG70="5",J70,0)</f>
        <v>0</v>
      </c>
      <c r="R70" s="44">
        <f>IF(AG70="1",H70,0)</f>
        <v>0</v>
      </c>
      <c r="S70" s="44">
        <f>IF(AG70="1",I70,0)</f>
        <v>0</v>
      </c>
      <c r="T70" s="44">
        <f>IF(AG70="7",H70,0)</f>
        <v>0</v>
      </c>
      <c r="U70" s="44">
        <f>IF(AG70="7",I70,0)</f>
        <v>0</v>
      </c>
      <c r="V70" s="44">
        <f>IF(AG70="2",H70,0)</f>
        <v>0</v>
      </c>
      <c r="W70" s="44">
        <f>IF(AG70="2",I70,0)</f>
        <v>0</v>
      </c>
      <c r="X70" s="44">
        <f>IF(AG70="0",J70,0)</f>
        <v>0</v>
      </c>
      <c r="Y70" s="36" t="s">
        <v>145</v>
      </c>
      <c r="Z70" s="22">
        <f>IF(AD70=0,J70,0)</f>
        <v>0</v>
      </c>
      <c r="AA70" s="22">
        <f>IF(AD70=15,J70,0)</f>
        <v>0</v>
      </c>
      <c r="AB70" s="22">
        <f>IF(AD70=21,J70,0)</f>
        <v>0</v>
      </c>
      <c r="AD70" s="44">
        <v>21</v>
      </c>
      <c r="AE70" s="44">
        <f>G70*0</f>
        <v>0</v>
      </c>
      <c r="AF70" s="44">
        <f>G70*(1-0)</f>
        <v>0</v>
      </c>
      <c r="AG70" s="41" t="s">
        <v>7</v>
      </c>
      <c r="AM70" s="44">
        <f>F70*AE70</f>
        <v>0</v>
      </c>
      <c r="AN70" s="44">
        <f>F70*AF70</f>
        <v>0</v>
      </c>
      <c r="AO70" s="45" t="s">
        <v>676</v>
      </c>
      <c r="AP70" s="45" t="s">
        <v>709</v>
      </c>
      <c r="AQ70" s="36" t="s">
        <v>718</v>
      </c>
      <c r="AS70" s="44">
        <f>AM70+AN70</f>
        <v>0</v>
      </c>
      <c r="AT70" s="44">
        <f>G70/(100-AU70)*100</f>
        <v>0</v>
      </c>
      <c r="AU70" s="44">
        <v>0</v>
      </c>
      <c r="AV70" s="44">
        <f>L70</f>
        <v>0</v>
      </c>
    </row>
    <row r="71" spans="4:7" ht="12.75">
      <c r="D71" s="17" t="s">
        <v>353</v>
      </c>
      <c r="F71" s="74">
        <v>10.689</v>
      </c>
      <c r="G71" s="24"/>
    </row>
    <row r="72" spans="4:7" ht="12.75">
      <c r="D72" s="17" t="s">
        <v>354</v>
      </c>
      <c r="F72" s="74">
        <v>26.22</v>
      </c>
      <c r="G72" s="24"/>
    </row>
    <row r="73" spans="1:37" ht="13.5">
      <c r="A73" s="5"/>
      <c r="B73" s="14" t="s">
        <v>145</v>
      </c>
      <c r="C73" s="14" t="s">
        <v>19</v>
      </c>
      <c r="D73" s="14" t="s">
        <v>355</v>
      </c>
      <c r="E73" s="5" t="s">
        <v>6</v>
      </c>
      <c r="F73" s="5" t="s">
        <v>6</v>
      </c>
      <c r="G73" s="28" t="s">
        <v>6</v>
      </c>
      <c r="H73" s="47">
        <f>SUM(H74:H82)</f>
        <v>0</v>
      </c>
      <c r="I73" s="47">
        <f>SUM(I74:I82)</f>
        <v>0</v>
      </c>
      <c r="J73" s="47">
        <f>H73+I73</f>
        <v>0</v>
      </c>
      <c r="K73" s="36"/>
      <c r="L73" s="47">
        <f>SUM(L74:L82)</f>
        <v>0</v>
      </c>
      <c r="M73" s="36"/>
      <c r="Y73" s="36" t="s">
        <v>145</v>
      </c>
      <c r="AI73" s="47">
        <f>SUM(Z74:Z82)</f>
        <v>0</v>
      </c>
      <c r="AJ73" s="47">
        <f>SUM(AA74:AA82)</f>
        <v>0</v>
      </c>
      <c r="AK73" s="47">
        <f>SUM(AB74:AB82)</f>
        <v>0</v>
      </c>
    </row>
    <row r="74" spans="1:48" ht="13.5">
      <c r="A74" s="6" t="s">
        <v>29</v>
      </c>
      <c r="B74" s="6" t="s">
        <v>145</v>
      </c>
      <c r="C74" s="6" t="s">
        <v>169</v>
      </c>
      <c r="D74" s="6" t="s">
        <v>356</v>
      </c>
      <c r="E74" s="6" t="s">
        <v>629</v>
      </c>
      <c r="F74" s="73">
        <v>11.126</v>
      </c>
      <c r="G74" s="29">
        <v>0</v>
      </c>
      <c r="H74" s="22">
        <f>F74*AE74</f>
        <v>0</v>
      </c>
      <c r="I74" s="22">
        <f>J74-H74</f>
        <v>0</v>
      </c>
      <c r="J74" s="22">
        <f>F74*G74</f>
        <v>0</v>
      </c>
      <c r="K74" s="22">
        <v>0</v>
      </c>
      <c r="L74" s="22">
        <f>F74*K74</f>
        <v>0</v>
      </c>
      <c r="M74" s="41" t="s">
        <v>660</v>
      </c>
      <c r="P74" s="44">
        <f>IF(AG74="5",J74,0)</f>
        <v>0</v>
      </c>
      <c r="R74" s="44">
        <f>IF(AG74="1",H74,0)</f>
        <v>0</v>
      </c>
      <c r="S74" s="44">
        <f>IF(AG74="1",I74,0)</f>
        <v>0</v>
      </c>
      <c r="T74" s="44">
        <f>IF(AG74="7",H74,0)</f>
        <v>0</v>
      </c>
      <c r="U74" s="44">
        <f>IF(AG74="7",I74,0)</f>
        <v>0</v>
      </c>
      <c r="V74" s="44">
        <f>IF(AG74="2",H74,0)</f>
        <v>0</v>
      </c>
      <c r="W74" s="44">
        <f>IF(AG74="2",I74,0)</f>
        <v>0</v>
      </c>
      <c r="X74" s="44">
        <f>IF(AG74="0",J74,0)</f>
        <v>0</v>
      </c>
      <c r="Y74" s="36" t="s">
        <v>145</v>
      </c>
      <c r="Z74" s="22">
        <f>IF(AD74=0,J74,0)</f>
        <v>0</v>
      </c>
      <c r="AA74" s="22">
        <f>IF(AD74=15,J74,0)</f>
        <v>0</v>
      </c>
      <c r="AB74" s="22">
        <f>IF(AD74=21,J74,0)</f>
        <v>0</v>
      </c>
      <c r="AD74" s="44">
        <v>21</v>
      </c>
      <c r="AE74" s="44">
        <f>G74*0</f>
        <v>0</v>
      </c>
      <c r="AF74" s="44">
        <f>G74*(1-0)</f>
        <v>0</v>
      </c>
      <c r="AG74" s="41" t="s">
        <v>7</v>
      </c>
      <c r="AM74" s="44">
        <f>F74*AE74</f>
        <v>0</v>
      </c>
      <c r="AN74" s="44">
        <f>F74*AF74</f>
        <v>0</v>
      </c>
      <c r="AO74" s="45" t="s">
        <v>677</v>
      </c>
      <c r="AP74" s="45" t="s">
        <v>709</v>
      </c>
      <c r="AQ74" s="36" t="s">
        <v>718</v>
      </c>
      <c r="AS74" s="44">
        <f>AM74+AN74</f>
        <v>0</v>
      </c>
      <c r="AT74" s="44">
        <f>G74/(100-AU74)*100</f>
        <v>0</v>
      </c>
      <c r="AU74" s="44">
        <v>0</v>
      </c>
      <c r="AV74" s="44">
        <f>L74</f>
        <v>0</v>
      </c>
    </row>
    <row r="75" spans="4:7" ht="12.75">
      <c r="D75" s="17" t="s">
        <v>357</v>
      </c>
      <c r="F75" s="74">
        <v>0</v>
      </c>
      <c r="G75" s="24"/>
    </row>
    <row r="76" spans="4:7" ht="12.75">
      <c r="D76" s="17" t="s">
        <v>358</v>
      </c>
      <c r="F76" s="74">
        <v>6.126</v>
      </c>
      <c r="G76" s="24"/>
    </row>
    <row r="77" spans="4:7" ht="12.75">
      <c r="D77" s="17" t="s">
        <v>359</v>
      </c>
      <c r="F77" s="74">
        <v>5</v>
      </c>
      <c r="G77" s="24"/>
    </row>
    <row r="78" spans="1:48" ht="13.5">
      <c r="A78" s="6" t="s">
        <v>30</v>
      </c>
      <c r="B78" s="6" t="s">
        <v>145</v>
      </c>
      <c r="C78" s="6" t="s">
        <v>170</v>
      </c>
      <c r="D78" s="6" t="s">
        <v>360</v>
      </c>
      <c r="E78" s="6" t="s">
        <v>629</v>
      </c>
      <c r="F78" s="73">
        <v>10.689</v>
      </c>
      <c r="G78" s="29">
        <v>0</v>
      </c>
      <c r="H78" s="22">
        <f>F78*AE78</f>
        <v>0</v>
      </c>
      <c r="I78" s="22">
        <f>J78-H78</f>
        <v>0</v>
      </c>
      <c r="J78" s="22">
        <f>F78*G78</f>
        <v>0</v>
      </c>
      <c r="K78" s="22">
        <v>0</v>
      </c>
      <c r="L78" s="22">
        <f>F78*K78</f>
        <v>0</v>
      </c>
      <c r="M78" s="41" t="s">
        <v>660</v>
      </c>
      <c r="P78" s="44">
        <f>IF(AG78="5",J78,0)</f>
        <v>0</v>
      </c>
      <c r="R78" s="44">
        <f>IF(AG78="1",H78,0)</f>
        <v>0</v>
      </c>
      <c r="S78" s="44">
        <f>IF(AG78="1",I78,0)</f>
        <v>0</v>
      </c>
      <c r="T78" s="44">
        <f>IF(AG78="7",H78,0)</f>
        <v>0</v>
      </c>
      <c r="U78" s="44">
        <f>IF(AG78="7",I78,0)</f>
        <v>0</v>
      </c>
      <c r="V78" s="44">
        <f>IF(AG78="2",H78,0)</f>
        <v>0</v>
      </c>
      <c r="W78" s="44">
        <f>IF(AG78="2",I78,0)</f>
        <v>0</v>
      </c>
      <c r="X78" s="44">
        <f>IF(AG78="0",J78,0)</f>
        <v>0</v>
      </c>
      <c r="Y78" s="36" t="s">
        <v>145</v>
      </c>
      <c r="Z78" s="22">
        <f>IF(AD78=0,J78,0)</f>
        <v>0</v>
      </c>
      <c r="AA78" s="22">
        <f>IF(AD78=15,J78,0)</f>
        <v>0</v>
      </c>
      <c r="AB78" s="22">
        <f>IF(AD78=21,J78,0)</f>
        <v>0</v>
      </c>
      <c r="AD78" s="44">
        <v>21</v>
      </c>
      <c r="AE78" s="44">
        <f>G78*0</f>
        <v>0</v>
      </c>
      <c r="AF78" s="44">
        <f>G78*(1-0)</f>
        <v>0</v>
      </c>
      <c r="AG78" s="41" t="s">
        <v>7</v>
      </c>
      <c r="AM78" s="44">
        <f>F78*AE78</f>
        <v>0</v>
      </c>
      <c r="AN78" s="44">
        <f>F78*AF78</f>
        <v>0</v>
      </c>
      <c r="AO78" s="45" t="s">
        <v>677</v>
      </c>
      <c r="AP78" s="45" t="s">
        <v>709</v>
      </c>
      <c r="AQ78" s="36" t="s">
        <v>718</v>
      </c>
      <c r="AS78" s="44">
        <f>AM78+AN78</f>
        <v>0</v>
      </c>
      <c r="AT78" s="44">
        <f>G78/(100-AU78)*100</f>
        <v>0</v>
      </c>
      <c r="AU78" s="44">
        <v>0</v>
      </c>
      <c r="AV78" s="44">
        <f>L78</f>
        <v>0</v>
      </c>
    </row>
    <row r="79" spans="4:7" ht="12.75">
      <c r="D79" s="17" t="s">
        <v>361</v>
      </c>
      <c r="F79" s="74">
        <v>10.689</v>
      </c>
      <c r="G79" s="24"/>
    </row>
    <row r="80" spans="1:48" ht="13.5">
      <c r="A80" s="6" t="s">
        <v>31</v>
      </c>
      <c r="B80" s="6" t="s">
        <v>145</v>
      </c>
      <c r="C80" s="6" t="s">
        <v>171</v>
      </c>
      <c r="D80" s="6" t="s">
        <v>362</v>
      </c>
      <c r="E80" s="6" t="s">
        <v>629</v>
      </c>
      <c r="F80" s="73">
        <v>24.504</v>
      </c>
      <c r="G80" s="29">
        <v>0</v>
      </c>
      <c r="H80" s="22">
        <f>F80*AE80</f>
        <v>0</v>
      </c>
      <c r="I80" s="22">
        <f>J80-H80</f>
        <v>0</v>
      </c>
      <c r="J80" s="22">
        <f>F80*G80</f>
        <v>0</v>
      </c>
      <c r="K80" s="22">
        <v>0</v>
      </c>
      <c r="L80" s="22">
        <f>F80*K80</f>
        <v>0</v>
      </c>
      <c r="M80" s="41" t="s">
        <v>660</v>
      </c>
      <c r="P80" s="44">
        <f>IF(AG80="5",J80,0)</f>
        <v>0</v>
      </c>
      <c r="R80" s="44">
        <f>IF(AG80="1",H80,0)</f>
        <v>0</v>
      </c>
      <c r="S80" s="44">
        <f>IF(AG80="1",I80,0)</f>
        <v>0</v>
      </c>
      <c r="T80" s="44">
        <f>IF(AG80="7",H80,0)</f>
        <v>0</v>
      </c>
      <c r="U80" s="44">
        <f>IF(AG80="7",I80,0)</f>
        <v>0</v>
      </c>
      <c r="V80" s="44">
        <f>IF(AG80="2",H80,0)</f>
        <v>0</v>
      </c>
      <c r="W80" s="44">
        <f>IF(AG80="2",I80,0)</f>
        <v>0</v>
      </c>
      <c r="X80" s="44">
        <f>IF(AG80="0",J80,0)</f>
        <v>0</v>
      </c>
      <c r="Y80" s="36" t="s">
        <v>145</v>
      </c>
      <c r="Z80" s="22">
        <f>IF(AD80=0,J80,0)</f>
        <v>0</v>
      </c>
      <c r="AA80" s="22">
        <f>IF(AD80=15,J80,0)</f>
        <v>0</v>
      </c>
      <c r="AB80" s="22">
        <f>IF(AD80=21,J80,0)</f>
        <v>0</v>
      </c>
      <c r="AD80" s="44">
        <v>21</v>
      </c>
      <c r="AE80" s="44">
        <f>G80*0</f>
        <v>0</v>
      </c>
      <c r="AF80" s="44">
        <f>G80*(1-0)</f>
        <v>0</v>
      </c>
      <c r="AG80" s="41" t="s">
        <v>7</v>
      </c>
      <c r="AM80" s="44">
        <f>F80*AE80</f>
        <v>0</v>
      </c>
      <c r="AN80" s="44">
        <f>F80*AF80</f>
        <v>0</v>
      </c>
      <c r="AO80" s="45" t="s">
        <v>677</v>
      </c>
      <c r="AP80" s="45" t="s">
        <v>709</v>
      </c>
      <c r="AQ80" s="36" t="s">
        <v>718</v>
      </c>
      <c r="AS80" s="44">
        <f>AM80+AN80</f>
        <v>0</v>
      </c>
      <c r="AT80" s="44">
        <f>G80/(100-AU80)*100</f>
        <v>0</v>
      </c>
      <c r="AU80" s="44">
        <v>0</v>
      </c>
      <c r="AV80" s="44">
        <f>L80</f>
        <v>0</v>
      </c>
    </row>
    <row r="81" spans="4:7" ht="12.75">
      <c r="D81" s="17" t="s">
        <v>363</v>
      </c>
      <c r="F81" s="74">
        <v>24.504</v>
      </c>
      <c r="G81" s="24"/>
    </row>
    <row r="82" spans="1:48" ht="13.5">
      <c r="A82" s="6" t="s">
        <v>32</v>
      </c>
      <c r="B82" s="6" t="s">
        <v>145</v>
      </c>
      <c r="C82" s="6" t="s">
        <v>172</v>
      </c>
      <c r="D82" s="6" t="s">
        <v>364</v>
      </c>
      <c r="E82" s="6" t="s">
        <v>629</v>
      </c>
      <c r="F82" s="73">
        <v>7.351</v>
      </c>
      <c r="G82" s="29">
        <v>0</v>
      </c>
      <c r="H82" s="22">
        <f>F82*AE82</f>
        <v>0</v>
      </c>
      <c r="I82" s="22">
        <f>J82-H82</f>
        <v>0</v>
      </c>
      <c r="J82" s="22">
        <f>F82*G82</f>
        <v>0</v>
      </c>
      <c r="K82" s="22">
        <v>0</v>
      </c>
      <c r="L82" s="22">
        <f>F82*K82</f>
        <v>0</v>
      </c>
      <c r="M82" s="41" t="s">
        <v>660</v>
      </c>
      <c r="P82" s="44">
        <f>IF(AG82="5",J82,0)</f>
        <v>0</v>
      </c>
      <c r="R82" s="44">
        <f>IF(AG82="1",H82,0)</f>
        <v>0</v>
      </c>
      <c r="S82" s="44">
        <f>IF(AG82="1",I82,0)</f>
        <v>0</v>
      </c>
      <c r="T82" s="44">
        <f>IF(AG82="7",H82,0)</f>
        <v>0</v>
      </c>
      <c r="U82" s="44">
        <f>IF(AG82="7",I82,0)</f>
        <v>0</v>
      </c>
      <c r="V82" s="44">
        <f>IF(AG82="2",H82,0)</f>
        <v>0</v>
      </c>
      <c r="W82" s="44">
        <f>IF(AG82="2",I82,0)</f>
        <v>0</v>
      </c>
      <c r="X82" s="44">
        <f>IF(AG82="0",J82,0)</f>
        <v>0</v>
      </c>
      <c r="Y82" s="36" t="s">
        <v>145</v>
      </c>
      <c r="Z82" s="22">
        <f>IF(AD82=0,J82,0)</f>
        <v>0</v>
      </c>
      <c r="AA82" s="22">
        <f>IF(AD82=15,J82,0)</f>
        <v>0</v>
      </c>
      <c r="AB82" s="22">
        <f>IF(AD82=21,J82,0)</f>
        <v>0</v>
      </c>
      <c r="AD82" s="44">
        <v>21</v>
      </c>
      <c r="AE82" s="44">
        <f>G82*0</f>
        <v>0</v>
      </c>
      <c r="AF82" s="44">
        <f>G82*(1-0)</f>
        <v>0</v>
      </c>
      <c r="AG82" s="41" t="s">
        <v>7</v>
      </c>
      <c r="AM82" s="44">
        <f>F82*AE82</f>
        <v>0</v>
      </c>
      <c r="AN82" s="44">
        <f>F82*AF82</f>
        <v>0</v>
      </c>
      <c r="AO82" s="45" t="s">
        <v>677</v>
      </c>
      <c r="AP82" s="45" t="s">
        <v>709</v>
      </c>
      <c r="AQ82" s="36" t="s">
        <v>718</v>
      </c>
      <c r="AS82" s="44">
        <f>AM82+AN82</f>
        <v>0</v>
      </c>
      <c r="AT82" s="44">
        <f>G82/(100-AU82)*100</f>
        <v>0</v>
      </c>
      <c r="AU82" s="44">
        <v>0</v>
      </c>
      <c r="AV82" s="44">
        <f>L82</f>
        <v>0</v>
      </c>
    </row>
    <row r="83" spans="4:7" ht="12.75">
      <c r="D83" s="17" t="s">
        <v>365</v>
      </c>
      <c r="F83" s="74">
        <v>7.351</v>
      </c>
      <c r="G83" s="24"/>
    </row>
    <row r="84" spans="1:37" ht="13.5">
      <c r="A84" s="5"/>
      <c r="B84" s="14" t="s">
        <v>145</v>
      </c>
      <c r="C84" s="14" t="s">
        <v>22</v>
      </c>
      <c r="D84" s="14" t="s">
        <v>366</v>
      </c>
      <c r="E84" s="5" t="s">
        <v>6</v>
      </c>
      <c r="F84" s="5" t="s">
        <v>6</v>
      </c>
      <c r="G84" s="28" t="s">
        <v>6</v>
      </c>
      <c r="H84" s="47">
        <f>SUM(H85:H111)</f>
        <v>0</v>
      </c>
      <c r="I84" s="47">
        <f>SUM(I85:I111)</f>
        <v>0</v>
      </c>
      <c r="J84" s="47">
        <f>H84+I84</f>
        <v>0</v>
      </c>
      <c r="K84" s="36"/>
      <c r="L84" s="47">
        <f>SUM(L85:L111)</f>
        <v>0</v>
      </c>
      <c r="M84" s="36"/>
      <c r="Y84" s="36" t="s">
        <v>145</v>
      </c>
      <c r="AI84" s="47">
        <f>SUM(Z85:Z111)</f>
        <v>0</v>
      </c>
      <c r="AJ84" s="47">
        <f>SUM(AA85:AA111)</f>
        <v>0</v>
      </c>
      <c r="AK84" s="47">
        <f>SUM(AB85:AB111)</f>
        <v>0</v>
      </c>
    </row>
    <row r="85" spans="1:48" ht="13.5">
      <c r="A85" s="6" t="s">
        <v>33</v>
      </c>
      <c r="B85" s="6" t="s">
        <v>145</v>
      </c>
      <c r="C85" s="6" t="s">
        <v>173</v>
      </c>
      <c r="D85" s="6" t="s">
        <v>367</v>
      </c>
      <c r="E85" s="6" t="s">
        <v>629</v>
      </c>
      <c r="F85" s="73">
        <v>262.98</v>
      </c>
      <c r="G85" s="29">
        <v>0</v>
      </c>
      <c r="H85" s="22">
        <f>F85*AE85</f>
        <v>0</v>
      </c>
      <c r="I85" s="22">
        <f>J85-H85</f>
        <v>0</v>
      </c>
      <c r="J85" s="22">
        <f>F85*G85</f>
        <v>0</v>
      </c>
      <c r="K85" s="22">
        <v>0</v>
      </c>
      <c r="L85" s="22">
        <f>F85*K85</f>
        <v>0</v>
      </c>
      <c r="M85" s="41" t="s">
        <v>660</v>
      </c>
      <c r="P85" s="44">
        <f>IF(AG85="5",J85,0)</f>
        <v>0</v>
      </c>
      <c r="R85" s="44">
        <f>IF(AG85="1",H85,0)</f>
        <v>0</v>
      </c>
      <c r="S85" s="44">
        <f>IF(AG85="1",I85,0)</f>
        <v>0</v>
      </c>
      <c r="T85" s="44">
        <f>IF(AG85="7",H85,0)</f>
        <v>0</v>
      </c>
      <c r="U85" s="44">
        <f>IF(AG85="7",I85,0)</f>
        <v>0</v>
      </c>
      <c r="V85" s="44">
        <f>IF(AG85="2",H85,0)</f>
        <v>0</v>
      </c>
      <c r="W85" s="44">
        <f>IF(AG85="2",I85,0)</f>
        <v>0</v>
      </c>
      <c r="X85" s="44">
        <f>IF(AG85="0",J85,0)</f>
        <v>0</v>
      </c>
      <c r="Y85" s="36" t="s">
        <v>145</v>
      </c>
      <c r="Z85" s="22">
        <f>IF(AD85=0,J85,0)</f>
        <v>0</v>
      </c>
      <c r="AA85" s="22">
        <f>IF(AD85=15,J85,0)</f>
        <v>0</v>
      </c>
      <c r="AB85" s="22">
        <f>IF(AD85=21,J85,0)</f>
        <v>0</v>
      </c>
      <c r="AD85" s="44">
        <v>21</v>
      </c>
      <c r="AE85" s="44">
        <f>G85*0</f>
        <v>0</v>
      </c>
      <c r="AF85" s="44">
        <f>G85*(1-0)</f>
        <v>0</v>
      </c>
      <c r="AG85" s="41" t="s">
        <v>7</v>
      </c>
      <c r="AM85" s="44">
        <f>F85*AE85</f>
        <v>0</v>
      </c>
      <c r="AN85" s="44">
        <f>F85*AF85</f>
        <v>0</v>
      </c>
      <c r="AO85" s="45" t="s">
        <v>678</v>
      </c>
      <c r="AP85" s="45" t="s">
        <v>709</v>
      </c>
      <c r="AQ85" s="36" t="s">
        <v>718</v>
      </c>
      <c r="AS85" s="44">
        <f>AM85+AN85</f>
        <v>0</v>
      </c>
      <c r="AT85" s="44">
        <f>G85/(100-AU85)*100</f>
        <v>0</v>
      </c>
      <c r="AU85" s="44">
        <v>0</v>
      </c>
      <c r="AV85" s="44">
        <f>L85</f>
        <v>0</v>
      </c>
    </row>
    <row r="86" spans="4:7" ht="12.75">
      <c r="D86" s="17" t="s">
        <v>347</v>
      </c>
      <c r="F86" s="74">
        <v>139.95</v>
      </c>
      <c r="G86" s="24"/>
    </row>
    <row r="87" spans="4:7" ht="12.75">
      <c r="D87" s="17" t="s">
        <v>348</v>
      </c>
      <c r="F87" s="74">
        <v>87.4</v>
      </c>
      <c r="G87" s="24"/>
    </row>
    <row r="88" spans="4:7" ht="12.75">
      <c r="D88" s="17" t="s">
        <v>357</v>
      </c>
      <c r="F88" s="74">
        <v>0</v>
      </c>
      <c r="G88" s="24"/>
    </row>
    <row r="89" spans="4:7" ht="12.75">
      <c r="D89" s="17" t="s">
        <v>358</v>
      </c>
      <c r="F89" s="74">
        <v>6.126</v>
      </c>
      <c r="G89" s="24"/>
    </row>
    <row r="90" spans="4:7" ht="12.75">
      <c r="D90" s="17" t="s">
        <v>359</v>
      </c>
      <c r="F90" s="74">
        <v>5</v>
      </c>
      <c r="G90" s="24"/>
    </row>
    <row r="91" spans="4:7" ht="12.75">
      <c r="D91" s="17" t="s">
        <v>363</v>
      </c>
      <c r="F91" s="74">
        <v>24.504</v>
      </c>
      <c r="G91" s="24"/>
    </row>
    <row r="92" spans="1:48" ht="13.5">
      <c r="A92" s="6" t="s">
        <v>34</v>
      </c>
      <c r="B92" s="6" t="s">
        <v>145</v>
      </c>
      <c r="C92" s="6" t="s">
        <v>174</v>
      </c>
      <c r="D92" s="6" t="s">
        <v>368</v>
      </c>
      <c r="E92" s="6" t="s">
        <v>629</v>
      </c>
      <c r="F92" s="73">
        <v>262.98</v>
      </c>
      <c r="G92" s="29">
        <v>0</v>
      </c>
      <c r="H92" s="22">
        <f>F92*AE92</f>
        <v>0</v>
      </c>
      <c r="I92" s="22">
        <f>J92-H92</f>
        <v>0</v>
      </c>
      <c r="J92" s="22">
        <f>F92*G92</f>
        <v>0</v>
      </c>
      <c r="K92" s="22">
        <v>0</v>
      </c>
      <c r="L92" s="22">
        <f>F92*K92</f>
        <v>0</v>
      </c>
      <c r="M92" s="41" t="s">
        <v>660</v>
      </c>
      <c r="P92" s="44">
        <f>IF(AG92="5",J92,0)</f>
        <v>0</v>
      </c>
      <c r="R92" s="44">
        <f>IF(AG92="1",H92,0)</f>
        <v>0</v>
      </c>
      <c r="S92" s="44">
        <f>IF(AG92="1",I92,0)</f>
        <v>0</v>
      </c>
      <c r="T92" s="44">
        <f>IF(AG92="7",H92,0)</f>
        <v>0</v>
      </c>
      <c r="U92" s="44">
        <f>IF(AG92="7",I92,0)</f>
        <v>0</v>
      </c>
      <c r="V92" s="44">
        <f>IF(AG92="2",H92,0)</f>
        <v>0</v>
      </c>
      <c r="W92" s="44">
        <f>IF(AG92="2",I92,0)</f>
        <v>0</v>
      </c>
      <c r="X92" s="44">
        <f>IF(AG92="0",J92,0)</f>
        <v>0</v>
      </c>
      <c r="Y92" s="36" t="s">
        <v>145</v>
      </c>
      <c r="Z92" s="22">
        <f>IF(AD92=0,J92,0)</f>
        <v>0</v>
      </c>
      <c r="AA92" s="22">
        <f>IF(AD92=15,J92,0)</f>
        <v>0</v>
      </c>
      <c r="AB92" s="22">
        <f>IF(AD92=21,J92,0)</f>
        <v>0</v>
      </c>
      <c r="AD92" s="44">
        <v>21</v>
      </c>
      <c r="AE92" s="44">
        <f>G92*0</f>
        <v>0</v>
      </c>
      <c r="AF92" s="44">
        <f>G92*(1-0)</f>
        <v>0</v>
      </c>
      <c r="AG92" s="41" t="s">
        <v>7</v>
      </c>
      <c r="AM92" s="44">
        <f>F92*AE92</f>
        <v>0</v>
      </c>
      <c r="AN92" s="44">
        <f>F92*AF92</f>
        <v>0</v>
      </c>
      <c r="AO92" s="45" t="s">
        <v>678</v>
      </c>
      <c r="AP92" s="45" t="s">
        <v>709</v>
      </c>
      <c r="AQ92" s="36" t="s">
        <v>718</v>
      </c>
      <c r="AS92" s="44">
        <f>AM92+AN92</f>
        <v>0</v>
      </c>
      <c r="AT92" s="44">
        <f>G92/(100-AU92)*100</f>
        <v>0</v>
      </c>
      <c r="AU92" s="44">
        <v>0</v>
      </c>
      <c r="AV92" s="44">
        <f>L92</f>
        <v>0</v>
      </c>
    </row>
    <row r="93" spans="4:7" ht="12.75">
      <c r="D93" s="17" t="s">
        <v>369</v>
      </c>
      <c r="F93" s="74">
        <v>0</v>
      </c>
      <c r="G93" s="24"/>
    </row>
    <row r="94" spans="4:7" ht="12.75">
      <c r="D94" s="17" t="s">
        <v>347</v>
      </c>
      <c r="F94" s="74">
        <v>139.95</v>
      </c>
      <c r="G94" s="24"/>
    </row>
    <row r="95" spans="4:7" ht="12.75">
      <c r="D95" s="17" t="s">
        <v>348</v>
      </c>
      <c r="F95" s="74">
        <v>87.4</v>
      </c>
      <c r="G95" s="24"/>
    </row>
    <row r="96" spans="4:7" ht="12.75">
      <c r="D96" s="17" t="s">
        <v>357</v>
      </c>
      <c r="F96" s="74">
        <v>0</v>
      </c>
      <c r="G96" s="24"/>
    </row>
    <row r="97" spans="4:7" ht="12.75">
      <c r="D97" s="17" t="s">
        <v>358</v>
      </c>
      <c r="F97" s="74">
        <v>6.126</v>
      </c>
      <c r="G97" s="24"/>
    </row>
    <row r="98" spans="4:7" ht="12.75">
      <c r="D98" s="17" t="s">
        <v>359</v>
      </c>
      <c r="F98" s="74">
        <v>5</v>
      </c>
      <c r="G98" s="24"/>
    </row>
    <row r="99" spans="4:7" ht="12.75">
      <c r="D99" s="17" t="s">
        <v>363</v>
      </c>
      <c r="F99" s="74">
        <v>24.504</v>
      </c>
      <c r="G99" s="24"/>
    </row>
    <row r="100" spans="1:48" ht="13.5">
      <c r="A100" s="6" t="s">
        <v>35</v>
      </c>
      <c r="B100" s="6" t="s">
        <v>145</v>
      </c>
      <c r="C100" s="6" t="s">
        <v>175</v>
      </c>
      <c r="D100" s="6" t="s">
        <v>370</v>
      </c>
      <c r="E100" s="6" t="s">
        <v>629</v>
      </c>
      <c r="F100" s="73">
        <v>2366.82</v>
      </c>
      <c r="G100" s="29">
        <v>0</v>
      </c>
      <c r="H100" s="22">
        <f>F100*AE100</f>
        <v>0</v>
      </c>
      <c r="I100" s="22">
        <f>J100-H100</f>
        <v>0</v>
      </c>
      <c r="J100" s="22">
        <f>F100*G100</f>
        <v>0</v>
      </c>
      <c r="K100" s="22">
        <v>0</v>
      </c>
      <c r="L100" s="22">
        <f>F100*K100</f>
        <v>0</v>
      </c>
      <c r="M100" s="41" t="s">
        <v>660</v>
      </c>
      <c r="P100" s="44">
        <f>IF(AG100="5",J100,0)</f>
        <v>0</v>
      </c>
      <c r="R100" s="44">
        <f>IF(AG100="1",H100,0)</f>
        <v>0</v>
      </c>
      <c r="S100" s="44">
        <f>IF(AG100="1",I100,0)</f>
        <v>0</v>
      </c>
      <c r="T100" s="44">
        <f>IF(AG100="7",H100,0)</f>
        <v>0</v>
      </c>
      <c r="U100" s="44">
        <f>IF(AG100="7",I100,0)</f>
        <v>0</v>
      </c>
      <c r="V100" s="44">
        <f>IF(AG100="2",H100,0)</f>
        <v>0</v>
      </c>
      <c r="W100" s="44">
        <f>IF(AG100="2",I100,0)</f>
        <v>0</v>
      </c>
      <c r="X100" s="44">
        <f>IF(AG100="0",J100,0)</f>
        <v>0</v>
      </c>
      <c r="Y100" s="36" t="s">
        <v>145</v>
      </c>
      <c r="Z100" s="22">
        <f>IF(AD100=0,J100,0)</f>
        <v>0</v>
      </c>
      <c r="AA100" s="22">
        <f>IF(AD100=15,J100,0)</f>
        <v>0</v>
      </c>
      <c r="AB100" s="22">
        <f>IF(AD100=21,J100,0)</f>
        <v>0</v>
      </c>
      <c r="AD100" s="44">
        <v>21</v>
      </c>
      <c r="AE100" s="44">
        <f>G100*0</f>
        <v>0</v>
      </c>
      <c r="AF100" s="44">
        <f>G100*(1-0)</f>
        <v>0</v>
      </c>
      <c r="AG100" s="41" t="s">
        <v>7</v>
      </c>
      <c r="AM100" s="44">
        <f>F100*AE100</f>
        <v>0</v>
      </c>
      <c r="AN100" s="44">
        <f>F100*AF100</f>
        <v>0</v>
      </c>
      <c r="AO100" s="45" t="s">
        <v>678</v>
      </c>
      <c r="AP100" s="45" t="s">
        <v>709</v>
      </c>
      <c r="AQ100" s="36" t="s">
        <v>718</v>
      </c>
      <c r="AR100" s="36" t="s">
        <v>719</v>
      </c>
      <c r="AS100" s="44">
        <f>AM100+AN100</f>
        <v>0</v>
      </c>
      <c r="AT100" s="44">
        <f>G100/(100-AU100)*100</f>
        <v>0</v>
      </c>
      <c r="AU100" s="44">
        <v>0</v>
      </c>
      <c r="AV100" s="44">
        <f>L100</f>
        <v>0</v>
      </c>
    </row>
    <row r="101" spans="4:7" ht="12.75">
      <c r="D101" s="17" t="s">
        <v>371</v>
      </c>
      <c r="F101" s="74">
        <v>0</v>
      </c>
      <c r="G101" s="24"/>
    </row>
    <row r="102" spans="4:7" ht="12.75">
      <c r="D102" s="17" t="s">
        <v>372</v>
      </c>
      <c r="F102" s="74">
        <v>0</v>
      </c>
      <c r="G102" s="24"/>
    </row>
    <row r="103" spans="4:7" ht="12.75">
      <c r="D103" s="17" t="s">
        <v>373</v>
      </c>
      <c r="F103" s="74">
        <v>1259.55</v>
      </c>
      <c r="G103" s="24"/>
    </row>
    <row r="104" spans="4:7" ht="12.75">
      <c r="D104" s="17" t="s">
        <v>374</v>
      </c>
      <c r="F104" s="74">
        <v>786.6</v>
      </c>
      <c r="G104" s="24"/>
    </row>
    <row r="105" spans="4:7" ht="12.75">
      <c r="D105" s="17" t="s">
        <v>375</v>
      </c>
      <c r="F105" s="74">
        <v>0</v>
      </c>
      <c r="G105" s="24"/>
    </row>
    <row r="106" spans="4:7" ht="12.75">
      <c r="D106" s="17" t="s">
        <v>376</v>
      </c>
      <c r="F106" s="74">
        <v>55.134</v>
      </c>
      <c r="G106" s="24"/>
    </row>
    <row r="107" spans="4:7" ht="12.75">
      <c r="D107" s="17" t="s">
        <v>377</v>
      </c>
      <c r="F107" s="74">
        <v>45</v>
      </c>
      <c r="G107" s="24"/>
    </row>
    <row r="108" spans="4:7" ht="12.75">
      <c r="D108" s="17" t="s">
        <v>378</v>
      </c>
      <c r="F108" s="74">
        <v>220.536</v>
      </c>
      <c r="G108" s="24"/>
    </row>
    <row r="109" spans="1:48" ht="13.5">
      <c r="A109" s="6" t="s">
        <v>36</v>
      </c>
      <c r="B109" s="6" t="s">
        <v>145</v>
      </c>
      <c r="C109" s="6" t="s">
        <v>176</v>
      </c>
      <c r="D109" s="6" t="s">
        <v>379</v>
      </c>
      <c r="E109" s="6" t="s">
        <v>629</v>
      </c>
      <c r="F109" s="73">
        <v>109.2</v>
      </c>
      <c r="G109" s="29">
        <v>0</v>
      </c>
      <c r="H109" s="22">
        <f>F109*AE109</f>
        <v>0</v>
      </c>
      <c r="I109" s="22">
        <f>J109-H109</f>
        <v>0</v>
      </c>
      <c r="J109" s="22">
        <f>F109*G109</f>
        <v>0</v>
      </c>
      <c r="K109" s="22">
        <v>0</v>
      </c>
      <c r="L109" s="22">
        <f>F109*K109</f>
        <v>0</v>
      </c>
      <c r="M109" s="41" t="s">
        <v>660</v>
      </c>
      <c r="P109" s="44">
        <f>IF(AG109="5",J109,0)</f>
        <v>0</v>
      </c>
      <c r="R109" s="44">
        <f>IF(AG109="1",H109,0)</f>
        <v>0</v>
      </c>
      <c r="S109" s="44">
        <f>IF(AG109="1",I109,0)</f>
        <v>0</v>
      </c>
      <c r="T109" s="44">
        <f>IF(AG109="7",H109,0)</f>
        <v>0</v>
      </c>
      <c r="U109" s="44">
        <f>IF(AG109="7",I109,0)</f>
        <v>0</v>
      </c>
      <c r="V109" s="44">
        <f>IF(AG109="2",H109,0)</f>
        <v>0</v>
      </c>
      <c r="W109" s="44">
        <f>IF(AG109="2",I109,0)</f>
        <v>0</v>
      </c>
      <c r="X109" s="44">
        <f>IF(AG109="0",J109,0)</f>
        <v>0</v>
      </c>
      <c r="Y109" s="36" t="s">
        <v>145</v>
      </c>
      <c r="Z109" s="22">
        <f>IF(AD109=0,J109,0)</f>
        <v>0</v>
      </c>
      <c r="AA109" s="22">
        <f>IF(AD109=15,J109,0)</f>
        <v>0</v>
      </c>
      <c r="AB109" s="22">
        <f>IF(AD109=21,J109,0)</f>
        <v>0</v>
      </c>
      <c r="AD109" s="44">
        <v>21</v>
      </c>
      <c r="AE109" s="44">
        <f>G109*0</f>
        <v>0</v>
      </c>
      <c r="AF109" s="44">
        <f>G109*(1-0)</f>
        <v>0</v>
      </c>
      <c r="AG109" s="41" t="s">
        <v>7</v>
      </c>
      <c r="AM109" s="44">
        <f>F109*AE109</f>
        <v>0</v>
      </c>
      <c r="AN109" s="44">
        <f>F109*AF109</f>
        <v>0</v>
      </c>
      <c r="AO109" s="45" t="s">
        <v>678</v>
      </c>
      <c r="AP109" s="45" t="s">
        <v>709</v>
      </c>
      <c r="AQ109" s="36" t="s">
        <v>718</v>
      </c>
      <c r="AS109" s="44">
        <f>AM109+AN109</f>
        <v>0</v>
      </c>
      <c r="AT109" s="44">
        <f>G109/(100-AU109)*100</f>
        <v>0</v>
      </c>
      <c r="AU109" s="44">
        <v>0</v>
      </c>
      <c r="AV109" s="44">
        <f>L109</f>
        <v>0</v>
      </c>
    </row>
    <row r="110" spans="4:7" ht="12.75">
      <c r="D110" s="17" t="s">
        <v>380</v>
      </c>
      <c r="F110" s="74">
        <v>109.2</v>
      </c>
      <c r="G110" s="24"/>
    </row>
    <row r="111" spans="1:48" ht="13.5">
      <c r="A111" s="6" t="s">
        <v>37</v>
      </c>
      <c r="B111" s="6" t="s">
        <v>145</v>
      </c>
      <c r="C111" s="6" t="s">
        <v>177</v>
      </c>
      <c r="D111" s="6" t="s">
        <v>381</v>
      </c>
      <c r="E111" s="6" t="s">
        <v>629</v>
      </c>
      <c r="F111" s="73">
        <v>982.8</v>
      </c>
      <c r="G111" s="29">
        <v>0</v>
      </c>
      <c r="H111" s="22">
        <f>F111*AE111</f>
        <v>0</v>
      </c>
      <c r="I111" s="22">
        <f>J111-H111</f>
        <v>0</v>
      </c>
      <c r="J111" s="22">
        <f>F111*G111</f>
        <v>0</v>
      </c>
      <c r="K111" s="22">
        <v>0</v>
      </c>
      <c r="L111" s="22">
        <f>F111*K111</f>
        <v>0</v>
      </c>
      <c r="M111" s="41" t="s">
        <v>660</v>
      </c>
      <c r="P111" s="44">
        <f>IF(AG111="5",J111,0)</f>
        <v>0</v>
      </c>
      <c r="R111" s="44">
        <f>IF(AG111="1",H111,0)</f>
        <v>0</v>
      </c>
      <c r="S111" s="44">
        <f>IF(AG111="1",I111,0)</f>
        <v>0</v>
      </c>
      <c r="T111" s="44">
        <f>IF(AG111="7",H111,0)</f>
        <v>0</v>
      </c>
      <c r="U111" s="44">
        <f>IF(AG111="7",I111,0)</f>
        <v>0</v>
      </c>
      <c r="V111" s="44">
        <f>IF(AG111="2",H111,0)</f>
        <v>0</v>
      </c>
      <c r="W111" s="44">
        <f>IF(AG111="2",I111,0)</f>
        <v>0</v>
      </c>
      <c r="X111" s="44">
        <f>IF(AG111="0",J111,0)</f>
        <v>0</v>
      </c>
      <c r="Y111" s="36" t="s">
        <v>145</v>
      </c>
      <c r="Z111" s="22">
        <f>IF(AD111=0,J111,0)</f>
        <v>0</v>
      </c>
      <c r="AA111" s="22">
        <f>IF(AD111=15,J111,0)</f>
        <v>0</v>
      </c>
      <c r="AB111" s="22">
        <f>IF(AD111=21,J111,0)</f>
        <v>0</v>
      </c>
      <c r="AD111" s="44">
        <v>21</v>
      </c>
      <c r="AE111" s="44">
        <f>G111*0</f>
        <v>0</v>
      </c>
      <c r="AF111" s="44">
        <f>G111*(1-0)</f>
        <v>0</v>
      </c>
      <c r="AG111" s="41" t="s">
        <v>7</v>
      </c>
      <c r="AM111" s="44">
        <f>F111*AE111</f>
        <v>0</v>
      </c>
      <c r="AN111" s="44">
        <f>F111*AF111</f>
        <v>0</v>
      </c>
      <c r="AO111" s="45" t="s">
        <v>678</v>
      </c>
      <c r="AP111" s="45" t="s">
        <v>709</v>
      </c>
      <c r="AQ111" s="36" t="s">
        <v>718</v>
      </c>
      <c r="AR111" s="36" t="s">
        <v>719</v>
      </c>
      <c r="AS111" s="44">
        <f>AM111+AN111</f>
        <v>0</v>
      </c>
      <c r="AT111" s="44">
        <f>G111/(100-AU111)*100</f>
        <v>0</v>
      </c>
      <c r="AU111" s="44">
        <v>0</v>
      </c>
      <c r="AV111" s="44">
        <f>L111</f>
        <v>0</v>
      </c>
    </row>
    <row r="112" spans="4:7" ht="12.75">
      <c r="D112" s="17" t="s">
        <v>382</v>
      </c>
      <c r="F112" s="74">
        <v>982.8</v>
      </c>
      <c r="G112" s="24"/>
    </row>
    <row r="113" spans="1:37" ht="13.5">
      <c r="A113" s="5"/>
      <c r="B113" s="14" t="s">
        <v>145</v>
      </c>
      <c r="C113" s="14" t="s">
        <v>23</v>
      </c>
      <c r="D113" s="14" t="s">
        <v>383</v>
      </c>
      <c r="E113" s="5" t="s">
        <v>6</v>
      </c>
      <c r="F113" s="5" t="s">
        <v>6</v>
      </c>
      <c r="G113" s="28" t="s">
        <v>6</v>
      </c>
      <c r="H113" s="47">
        <f>SUM(H114:H126)</f>
        <v>0</v>
      </c>
      <c r="I113" s="47">
        <f>SUM(I114:I126)</f>
        <v>0</v>
      </c>
      <c r="J113" s="47">
        <f>H113+I113</f>
        <v>0</v>
      </c>
      <c r="K113" s="36"/>
      <c r="L113" s="47">
        <f>SUM(L114:L126)</f>
        <v>115.553</v>
      </c>
      <c r="M113" s="36"/>
      <c r="Y113" s="36" t="s">
        <v>145</v>
      </c>
      <c r="AI113" s="47">
        <f>SUM(Z114:Z126)</f>
        <v>0</v>
      </c>
      <c r="AJ113" s="47">
        <f>SUM(AA114:AA126)</f>
        <v>0</v>
      </c>
      <c r="AK113" s="47">
        <f>SUM(AB114:AB126)</f>
        <v>0</v>
      </c>
    </row>
    <row r="114" spans="1:48" ht="13.5">
      <c r="A114" s="6" t="s">
        <v>38</v>
      </c>
      <c r="B114" s="6" t="s">
        <v>145</v>
      </c>
      <c r="C114" s="6" t="s">
        <v>178</v>
      </c>
      <c r="D114" s="6" t="s">
        <v>384</v>
      </c>
      <c r="E114" s="6" t="s">
        <v>627</v>
      </c>
      <c r="F114" s="73">
        <v>186.5</v>
      </c>
      <c r="G114" s="29">
        <v>0</v>
      </c>
      <c r="H114" s="22">
        <f>F114*AE114</f>
        <v>0</v>
      </c>
      <c r="I114" s="22">
        <f>J114-H114</f>
        <v>0</v>
      </c>
      <c r="J114" s="22">
        <f>F114*G114</f>
        <v>0</v>
      </c>
      <c r="K114" s="22">
        <v>0</v>
      </c>
      <c r="L114" s="22">
        <f>F114*K114</f>
        <v>0</v>
      </c>
      <c r="M114" s="41" t="s">
        <v>660</v>
      </c>
      <c r="P114" s="44">
        <f>IF(AG114="5",J114,0)</f>
        <v>0</v>
      </c>
      <c r="R114" s="44">
        <f>IF(AG114="1",H114,0)</f>
        <v>0</v>
      </c>
      <c r="S114" s="44">
        <f>IF(AG114="1",I114,0)</f>
        <v>0</v>
      </c>
      <c r="T114" s="44">
        <f>IF(AG114="7",H114,0)</f>
        <v>0</v>
      </c>
      <c r="U114" s="44">
        <f>IF(AG114="7",I114,0)</f>
        <v>0</v>
      </c>
      <c r="V114" s="44">
        <f>IF(AG114="2",H114,0)</f>
        <v>0</v>
      </c>
      <c r="W114" s="44">
        <f>IF(AG114="2",I114,0)</f>
        <v>0</v>
      </c>
      <c r="X114" s="44">
        <f>IF(AG114="0",J114,0)</f>
        <v>0</v>
      </c>
      <c r="Y114" s="36" t="s">
        <v>145</v>
      </c>
      <c r="Z114" s="22">
        <f>IF(AD114=0,J114,0)</f>
        <v>0</v>
      </c>
      <c r="AA114" s="22">
        <f>IF(AD114=15,J114,0)</f>
        <v>0</v>
      </c>
      <c r="AB114" s="22">
        <f>IF(AD114=21,J114,0)</f>
        <v>0</v>
      </c>
      <c r="AD114" s="44">
        <v>21</v>
      </c>
      <c r="AE114" s="44">
        <f>G114*0</f>
        <v>0</v>
      </c>
      <c r="AF114" s="44">
        <f>G114*(1-0)</f>
        <v>0</v>
      </c>
      <c r="AG114" s="41" t="s">
        <v>7</v>
      </c>
      <c r="AM114" s="44">
        <f>F114*AE114</f>
        <v>0</v>
      </c>
      <c r="AN114" s="44">
        <f>F114*AF114</f>
        <v>0</v>
      </c>
      <c r="AO114" s="45" t="s">
        <v>679</v>
      </c>
      <c r="AP114" s="45" t="s">
        <v>709</v>
      </c>
      <c r="AQ114" s="36" t="s">
        <v>718</v>
      </c>
      <c r="AS114" s="44">
        <f>AM114+AN114</f>
        <v>0</v>
      </c>
      <c r="AT114" s="44">
        <f>G114/(100-AU114)*100</f>
        <v>0</v>
      </c>
      <c r="AU114" s="44">
        <v>0</v>
      </c>
      <c r="AV114" s="44">
        <f>L114</f>
        <v>0</v>
      </c>
    </row>
    <row r="115" spans="4:7" ht="12.75">
      <c r="D115" s="17" t="s">
        <v>385</v>
      </c>
      <c r="F115" s="74">
        <v>186.5</v>
      </c>
      <c r="G115" s="24"/>
    </row>
    <row r="116" spans="1:48" ht="13.5">
      <c r="A116" s="6" t="s">
        <v>39</v>
      </c>
      <c r="B116" s="6" t="s">
        <v>145</v>
      </c>
      <c r="C116" s="6" t="s">
        <v>179</v>
      </c>
      <c r="D116" s="6" t="s">
        <v>386</v>
      </c>
      <c r="E116" s="6" t="s">
        <v>629</v>
      </c>
      <c r="F116" s="73">
        <v>1.63</v>
      </c>
      <c r="G116" s="29">
        <v>0</v>
      </c>
      <c r="H116" s="22">
        <f>F116*AE116</f>
        <v>0</v>
      </c>
      <c r="I116" s="22">
        <f>J116-H116</f>
        <v>0</v>
      </c>
      <c r="J116" s="22">
        <f>F116*G116</f>
        <v>0</v>
      </c>
      <c r="K116" s="22">
        <v>0</v>
      </c>
      <c r="L116" s="22">
        <f>F116*K116</f>
        <v>0</v>
      </c>
      <c r="M116" s="41" t="s">
        <v>660</v>
      </c>
      <c r="P116" s="44">
        <f>IF(AG116="5",J116,0)</f>
        <v>0</v>
      </c>
      <c r="R116" s="44">
        <f>IF(AG116="1",H116,0)</f>
        <v>0</v>
      </c>
      <c r="S116" s="44">
        <f>IF(AG116="1",I116,0)</f>
        <v>0</v>
      </c>
      <c r="T116" s="44">
        <f>IF(AG116="7",H116,0)</f>
        <v>0</v>
      </c>
      <c r="U116" s="44">
        <f>IF(AG116="7",I116,0)</f>
        <v>0</v>
      </c>
      <c r="V116" s="44">
        <f>IF(AG116="2",H116,0)</f>
        <v>0</v>
      </c>
      <c r="W116" s="44">
        <f>IF(AG116="2",I116,0)</f>
        <v>0</v>
      </c>
      <c r="X116" s="44">
        <f>IF(AG116="0",J116,0)</f>
        <v>0</v>
      </c>
      <c r="Y116" s="36" t="s">
        <v>145</v>
      </c>
      <c r="Z116" s="22">
        <f>IF(AD116=0,J116,0)</f>
        <v>0</v>
      </c>
      <c r="AA116" s="22">
        <f>IF(AD116=15,J116,0)</f>
        <v>0</v>
      </c>
      <c r="AB116" s="22">
        <f>IF(AD116=21,J116,0)</f>
        <v>0</v>
      </c>
      <c r="AD116" s="44">
        <v>21</v>
      </c>
      <c r="AE116" s="44">
        <f>G116*0</f>
        <v>0</v>
      </c>
      <c r="AF116" s="44">
        <f>G116*(1-0)</f>
        <v>0</v>
      </c>
      <c r="AG116" s="41" t="s">
        <v>7</v>
      </c>
      <c r="AM116" s="44">
        <f>F116*AE116</f>
        <v>0</v>
      </c>
      <c r="AN116" s="44">
        <f>F116*AF116</f>
        <v>0</v>
      </c>
      <c r="AO116" s="45" t="s">
        <v>679</v>
      </c>
      <c r="AP116" s="45" t="s">
        <v>709</v>
      </c>
      <c r="AQ116" s="36" t="s">
        <v>718</v>
      </c>
      <c r="AS116" s="44">
        <f>AM116+AN116</f>
        <v>0</v>
      </c>
      <c r="AT116" s="44">
        <f>G116/(100-AU116)*100</f>
        <v>0</v>
      </c>
      <c r="AU116" s="44">
        <v>0</v>
      </c>
      <c r="AV116" s="44">
        <f>L116</f>
        <v>0</v>
      </c>
    </row>
    <row r="117" spans="4:7" ht="12.75">
      <c r="D117" s="17" t="s">
        <v>387</v>
      </c>
      <c r="F117" s="74">
        <v>1.63</v>
      </c>
      <c r="G117" s="24"/>
    </row>
    <row r="118" spans="1:48" ht="13.5">
      <c r="A118" s="7" t="s">
        <v>40</v>
      </c>
      <c r="B118" s="7" t="s">
        <v>145</v>
      </c>
      <c r="C118" s="7" t="s">
        <v>180</v>
      </c>
      <c r="D118" s="7" t="s">
        <v>388</v>
      </c>
      <c r="E118" s="7" t="s">
        <v>630</v>
      </c>
      <c r="F118" s="75">
        <v>2.963</v>
      </c>
      <c r="G118" s="30">
        <v>0</v>
      </c>
      <c r="H118" s="23">
        <f>F118*AE118</f>
        <v>0</v>
      </c>
      <c r="I118" s="23">
        <f>J118-H118</f>
        <v>0</v>
      </c>
      <c r="J118" s="23">
        <f>F118*G118</f>
        <v>0</v>
      </c>
      <c r="K118" s="23">
        <v>1</v>
      </c>
      <c r="L118" s="23">
        <f>F118*K118</f>
        <v>2.963</v>
      </c>
      <c r="M118" s="42" t="s">
        <v>660</v>
      </c>
      <c r="P118" s="44">
        <f>IF(AG118="5",J118,0)</f>
        <v>0</v>
      </c>
      <c r="R118" s="44">
        <f>IF(AG118="1",H118,0)</f>
        <v>0</v>
      </c>
      <c r="S118" s="44">
        <f>IF(AG118="1",I118,0)</f>
        <v>0</v>
      </c>
      <c r="T118" s="44">
        <f>IF(AG118="7",H118,0)</f>
        <v>0</v>
      </c>
      <c r="U118" s="44">
        <f>IF(AG118="7",I118,0)</f>
        <v>0</v>
      </c>
      <c r="V118" s="44">
        <f>IF(AG118="2",H118,0)</f>
        <v>0</v>
      </c>
      <c r="W118" s="44">
        <f>IF(AG118="2",I118,0)</f>
        <v>0</v>
      </c>
      <c r="X118" s="44">
        <f>IF(AG118="0",J118,0)</f>
        <v>0</v>
      </c>
      <c r="Y118" s="36" t="s">
        <v>145</v>
      </c>
      <c r="Z118" s="23">
        <f>IF(AD118=0,J118,0)</f>
        <v>0</v>
      </c>
      <c r="AA118" s="23">
        <f>IF(AD118=15,J118,0)</f>
        <v>0</v>
      </c>
      <c r="AB118" s="23">
        <f>IF(AD118=21,J118,0)</f>
        <v>0</v>
      </c>
      <c r="AD118" s="44">
        <v>21</v>
      </c>
      <c r="AE118" s="44">
        <f>G118*1</f>
        <v>0</v>
      </c>
      <c r="AF118" s="44">
        <f>G118*(1-1)</f>
        <v>0</v>
      </c>
      <c r="AG118" s="42" t="s">
        <v>7</v>
      </c>
      <c r="AM118" s="44">
        <f>F118*AE118</f>
        <v>0</v>
      </c>
      <c r="AN118" s="44">
        <f>F118*AF118</f>
        <v>0</v>
      </c>
      <c r="AO118" s="45" t="s">
        <v>679</v>
      </c>
      <c r="AP118" s="45" t="s">
        <v>709</v>
      </c>
      <c r="AQ118" s="36" t="s">
        <v>718</v>
      </c>
      <c r="AS118" s="44">
        <f>AM118+AN118</f>
        <v>0</v>
      </c>
      <c r="AT118" s="44">
        <f>G118/(100-AU118)*100</f>
        <v>0</v>
      </c>
      <c r="AU118" s="44">
        <v>0</v>
      </c>
      <c r="AV118" s="44">
        <f>L118</f>
        <v>2.963</v>
      </c>
    </row>
    <row r="119" spans="4:7" ht="12.75">
      <c r="D119" s="17" t="s">
        <v>389</v>
      </c>
      <c r="F119" s="74">
        <v>2.963</v>
      </c>
      <c r="G119" s="24"/>
    </row>
    <row r="120" spans="1:48" ht="13.5">
      <c r="A120" s="6" t="s">
        <v>41</v>
      </c>
      <c r="B120" s="6" t="s">
        <v>145</v>
      </c>
      <c r="C120" s="6" t="s">
        <v>181</v>
      </c>
      <c r="D120" s="6" t="s">
        <v>390</v>
      </c>
      <c r="E120" s="6" t="s">
        <v>629</v>
      </c>
      <c r="F120" s="73">
        <v>37.3</v>
      </c>
      <c r="G120" s="29">
        <v>0</v>
      </c>
      <c r="H120" s="22">
        <f>F120*AE120</f>
        <v>0</v>
      </c>
      <c r="I120" s="22">
        <f>J120-H120</f>
        <v>0</v>
      </c>
      <c r="J120" s="22">
        <f>F120*G120</f>
        <v>0</v>
      </c>
      <c r="K120" s="22">
        <v>0</v>
      </c>
      <c r="L120" s="22">
        <f>F120*K120</f>
        <v>0</v>
      </c>
      <c r="M120" s="41" t="s">
        <v>660</v>
      </c>
      <c r="P120" s="44">
        <f>IF(AG120="5",J120,0)</f>
        <v>0</v>
      </c>
      <c r="R120" s="44">
        <f>IF(AG120="1",H120,0)</f>
        <v>0</v>
      </c>
      <c r="S120" s="44">
        <f>IF(AG120="1",I120,0)</f>
        <v>0</v>
      </c>
      <c r="T120" s="44">
        <f>IF(AG120="7",H120,0)</f>
        <v>0</v>
      </c>
      <c r="U120" s="44">
        <f>IF(AG120="7",I120,0)</f>
        <v>0</v>
      </c>
      <c r="V120" s="44">
        <f>IF(AG120="2",H120,0)</f>
        <v>0</v>
      </c>
      <c r="W120" s="44">
        <f>IF(AG120="2",I120,0)</f>
        <v>0</v>
      </c>
      <c r="X120" s="44">
        <f>IF(AG120="0",J120,0)</f>
        <v>0</v>
      </c>
      <c r="Y120" s="36" t="s">
        <v>145</v>
      </c>
      <c r="Z120" s="22">
        <f>IF(AD120=0,J120,0)</f>
        <v>0</v>
      </c>
      <c r="AA120" s="22">
        <f>IF(AD120=15,J120,0)</f>
        <v>0</v>
      </c>
      <c r="AB120" s="22">
        <f>IF(AD120=21,J120,0)</f>
        <v>0</v>
      </c>
      <c r="AD120" s="44">
        <v>21</v>
      </c>
      <c r="AE120" s="44">
        <f>G120*0</f>
        <v>0</v>
      </c>
      <c r="AF120" s="44">
        <f>G120*(1-0)</f>
        <v>0</v>
      </c>
      <c r="AG120" s="41" t="s">
        <v>7</v>
      </c>
      <c r="AM120" s="44">
        <f>F120*AE120</f>
        <v>0</v>
      </c>
      <c r="AN120" s="44">
        <f>F120*AF120</f>
        <v>0</v>
      </c>
      <c r="AO120" s="45" t="s">
        <v>679</v>
      </c>
      <c r="AP120" s="45" t="s">
        <v>709</v>
      </c>
      <c r="AQ120" s="36" t="s">
        <v>718</v>
      </c>
      <c r="AS120" s="44">
        <f>AM120+AN120</f>
        <v>0</v>
      </c>
      <c r="AT120" s="44">
        <f>G120/(100-AU120)*100</f>
        <v>0</v>
      </c>
      <c r="AU120" s="44">
        <v>0</v>
      </c>
      <c r="AV120" s="44">
        <f>L120</f>
        <v>0</v>
      </c>
    </row>
    <row r="121" spans="4:7" ht="12.75">
      <c r="D121" s="17" t="s">
        <v>391</v>
      </c>
      <c r="F121" s="74">
        <v>37.3</v>
      </c>
      <c r="G121" s="24"/>
    </row>
    <row r="122" spans="1:48" ht="13.5">
      <c r="A122" s="7" t="s">
        <v>42</v>
      </c>
      <c r="B122" s="7" t="s">
        <v>145</v>
      </c>
      <c r="C122" s="7" t="s">
        <v>182</v>
      </c>
      <c r="D122" s="7" t="s">
        <v>392</v>
      </c>
      <c r="E122" s="7" t="s">
        <v>630</v>
      </c>
      <c r="F122" s="75">
        <v>67.14</v>
      </c>
      <c r="G122" s="30">
        <v>0</v>
      </c>
      <c r="H122" s="23">
        <f>F122*AE122</f>
        <v>0</v>
      </c>
      <c r="I122" s="23">
        <f>J122-H122</f>
        <v>0</v>
      </c>
      <c r="J122" s="23">
        <f>F122*G122</f>
        <v>0</v>
      </c>
      <c r="K122" s="23">
        <v>1</v>
      </c>
      <c r="L122" s="23">
        <f>F122*K122</f>
        <v>67.14</v>
      </c>
      <c r="M122" s="42"/>
      <c r="P122" s="44">
        <f>IF(AG122="5",J122,0)</f>
        <v>0</v>
      </c>
      <c r="R122" s="44">
        <f>IF(AG122="1",H122,0)</f>
        <v>0</v>
      </c>
      <c r="S122" s="44">
        <f>IF(AG122="1",I122,0)</f>
        <v>0</v>
      </c>
      <c r="T122" s="44">
        <f>IF(AG122="7",H122,0)</f>
        <v>0</v>
      </c>
      <c r="U122" s="44">
        <f>IF(AG122="7",I122,0)</f>
        <v>0</v>
      </c>
      <c r="V122" s="44">
        <f>IF(AG122="2",H122,0)</f>
        <v>0</v>
      </c>
      <c r="W122" s="44">
        <f>IF(AG122="2",I122,0)</f>
        <v>0</v>
      </c>
      <c r="X122" s="44">
        <f>IF(AG122="0",J122,0)</f>
        <v>0</v>
      </c>
      <c r="Y122" s="36" t="s">
        <v>145</v>
      </c>
      <c r="Z122" s="23">
        <f>IF(AD122=0,J122,0)</f>
        <v>0</v>
      </c>
      <c r="AA122" s="23">
        <f>IF(AD122=15,J122,0)</f>
        <v>0</v>
      </c>
      <c r="AB122" s="23">
        <f>IF(AD122=21,J122,0)</f>
        <v>0</v>
      </c>
      <c r="AD122" s="44">
        <v>21</v>
      </c>
      <c r="AE122" s="44">
        <f>G122*1</f>
        <v>0</v>
      </c>
      <c r="AF122" s="44">
        <f>G122*(1-1)</f>
        <v>0</v>
      </c>
      <c r="AG122" s="42" t="s">
        <v>7</v>
      </c>
      <c r="AM122" s="44">
        <f>F122*AE122</f>
        <v>0</v>
      </c>
      <c r="AN122" s="44">
        <f>F122*AF122</f>
        <v>0</v>
      </c>
      <c r="AO122" s="45" t="s">
        <v>679</v>
      </c>
      <c r="AP122" s="45" t="s">
        <v>709</v>
      </c>
      <c r="AQ122" s="36" t="s">
        <v>718</v>
      </c>
      <c r="AS122" s="44">
        <f>AM122+AN122</f>
        <v>0</v>
      </c>
      <c r="AT122" s="44">
        <f>G122/(100-AU122)*100</f>
        <v>0</v>
      </c>
      <c r="AU122" s="44">
        <v>0</v>
      </c>
      <c r="AV122" s="44">
        <f>L122</f>
        <v>67.14</v>
      </c>
    </row>
    <row r="123" spans="4:7" ht="12.75">
      <c r="D123" s="17" t="s">
        <v>393</v>
      </c>
      <c r="F123" s="74">
        <v>67.14</v>
      </c>
      <c r="G123" s="24"/>
    </row>
    <row r="124" spans="1:48" ht="13.5">
      <c r="A124" s="6" t="s">
        <v>43</v>
      </c>
      <c r="B124" s="6" t="s">
        <v>145</v>
      </c>
      <c r="C124" s="6" t="s">
        <v>183</v>
      </c>
      <c r="D124" s="6" t="s">
        <v>394</v>
      </c>
      <c r="E124" s="6" t="s">
        <v>629</v>
      </c>
      <c r="F124" s="73">
        <v>25.25</v>
      </c>
      <c r="G124" s="29">
        <v>0</v>
      </c>
      <c r="H124" s="22">
        <f>F124*AE124</f>
        <v>0</v>
      </c>
      <c r="I124" s="22">
        <f>J124-H124</f>
        <v>0</v>
      </c>
      <c r="J124" s="22">
        <f>F124*G124</f>
        <v>0</v>
      </c>
      <c r="K124" s="22">
        <v>0</v>
      </c>
      <c r="L124" s="22">
        <f>F124*K124</f>
        <v>0</v>
      </c>
      <c r="M124" s="41" t="s">
        <v>660</v>
      </c>
      <c r="P124" s="44">
        <f>IF(AG124="5",J124,0)</f>
        <v>0</v>
      </c>
      <c r="R124" s="44">
        <f>IF(AG124="1",H124,0)</f>
        <v>0</v>
      </c>
      <c r="S124" s="44">
        <f>IF(AG124="1",I124,0)</f>
        <v>0</v>
      </c>
      <c r="T124" s="44">
        <f>IF(AG124="7",H124,0)</f>
        <v>0</v>
      </c>
      <c r="U124" s="44">
        <f>IF(AG124="7",I124,0)</f>
        <v>0</v>
      </c>
      <c r="V124" s="44">
        <f>IF(AG124="2",H124,0)</f>
        <v>0</v>
      </c>
      <c r="W124" s="44">
        <f>IF(AG124="2",I124,0)</f>
        <v>0</v>
      </c>
      <c r="X124" s="44">
        <f>IF(AG124="0",J124,0)</f>
        <v>0</v>
      </c>
      <c r="Y124" s="36" t="s">
        <v>145</v>
      </c>
      <c r="Z124" s="22">
        <f>IF(AD124=0,J124,0)</f>
        <v>0</v>
      </c>
      <c r="AA124" s="22">
        <f>IF(AD124=15,J124,0)</f>
        <v>0</v>
      </c>
      <c r="AB124" s="22">
        <f>IF(AD124=21,J124,0)</f>
        <v>0</v>
      </c>
      <c r="AD124" s="44">
        <v>21</v>
      </c>
      <c r="AE124" s="44">
        <f>G124*0</f>
        <v>0</v>
      </c>
      <c r="AF124" s="44">
        <f>G124*(1-0)</f>
        <v>0</v>
      </c>
      <c r="AG124" s="41" t="s">
        <v>7</v>
      </c>
      <c r="AM124" s="44">
        <f>F124*AE124</f>
        <v>0</v>
      </c>
      <c r="AN124" s="44">
        <f>F124*AF124</f>
        <v>0</v>
      </c>
      <c r="AO124" s="45" t="s">
        <v>679</v>
      </c>
      <c r="AP124" s="45" t="s">
        <v>709</v>
      </c>
      <c r="AQ124" s="36" t="s">
        <v>718</v>
      </c>
      <c r="AS124" s="44">
        <f>AM124+AN124</f>
        <v>0</v>
      </c>
      <c r="AT124" s="44">
        <f>G124/(100-AU124)*100</f>
        <v>0</v>
      </c>
      <c r="AU124" s="44">
        <v>0</v>
      </c>
      <c r="AV124" s="44">
        <f>L124</f>
        <v>0</v>
      </c>
    </row>
    <row r="125" spans="4:7" ht="12.75">
      <c r="D125" s="17" t="s">
        <v>395</v>
      </c>
      <c r="F125" s="74">
        <v>25.25</v>
      </c>
      <c r="G125" s="24"/>
    </row>
    <row r="126" spans="1:48" ht="13.5">
      <c r="A126" s="7" t="s">
        <v>44</v>
      </c>
      <c r="B126" s="7" t="s">
        <v>145</v>
      </c>
      <c r="C126" s="7" t="s">
        <v>184</v>
      </c>
      <c r="D126" s="7" t="s">
        <v>396</v>
      </c>
      <c r="E126" s="7" t="s">
        <v>630</v>
      </c>
      <c r="F126" s="75">
        <v>45.45</v>
      </c>
      <c r="G126" s="30">
        <v>0</v>
      </c>
      <c r="H126" s="23">
        <f>F126*AE126</f>
        <v>0</v>
      </c>
      <c r="I126" s="23">
        <f>J126-H126</f>
        <v>0</v>
      </c>
      <c r="J126" s="23">
        <f>F126*G126</f>
        <v>0</v>
      </c>
      <c r="K126" s="23">
        <v>1</v>
      </c>
      <c r="L126" s="23">
        <f>F126*K126</f>
        <v>45.45</v>
      </c>
      <c r="M126" s="42" t="s">
        <v>660</v>
      </c>
      <c r="P126" s="44">
        <f>IF(AG126="5",J126,0)</f>
        <v>0</v>
      </c>
      <c r="R126" s="44">
        <f>IF(AG126="1",H126,0)</f>
        <v>0</v>
      </c>
      <c r="S126" s="44">
        <f>IF(AG126="1",I126,0)</f>
        <v>0</v>
      </c>
      <c r="T126" s="44">
        <f>IF(AG126="7",H126,0)</f>
        <v>0</v>
      </c>
      <c r="U126" s="44">
        <f>IF(AG126="7",I126,0)</f>
        <v>0</v>
      </c>
      <c r="V126" s="44">
        <f>IF(AG126="2",H126,0)</f>
        <v>0</v>
      </c>
      <c r="W126" s="44">
        <f>IF(AG126="2",I126,0)</f>
        <v>0</v>
      </c>
      <c r="X126" s="44">
        <f>IF(AG126="0",J126,0)</f>
        <v>0</v>
      </c>
      <c r="Y126" s="36" t="s">
        <v>145</v>
      </c>
      <c r="Z126" s="23">
        <f>IF(AD126=0,J126,0)</f>
        <v>0</v>
      </c>
      <c r="AA126" s="23">
        <f>IF(AD126=15,J126,0)</f>
        <v>0</v>
      </c>
      <c r="AB126" s="23">
        <f>IF(AD126=21,J126,0)</f>
        <v>0</v>
      </c>
      <c r="AD126" s="44">
        <v>21</v>
      </c>
      <c r="AE126" s="44">
        <f>G126*1</f>
        <v>0</v>
      </c>
      <c r="AF126" s="44">
        <f>G126*(1-1)</f>
        <v>0</v>
      </c>
      <c r="AG126" s="42" t="s">
        <v>7</v>
      </c>
      <c r="AM126" s="44">
        <f>F126*AE126</f>
        <v>0</v>
      </c>
      <c r="AN126" s="44">
        <f>F126*AF126</f>
        <v>0</v>
      </c>
      <c r="AO126" s="45" t="s">
        <v>679</v>
      </c>
      <c r="AP126" s="45" t="s">
        <v>709</v>
      </c>
      <c r="AQ126" s="36" t="s">
        <v>718</v>
      </c>
      <c r="AS126" s="44">
        <f>AM126+AN126</f>
        <v>0</v>
      </c>
      <c r="AT126" s="44">
        <f>G126/(100-AU126)*100</f>
        <v>0</v>
      </c>
      <c r="AU126" s="44">
        <v>0</v>
      </c>
      <c r="AV126" s="44">
        <f>L126</f>
        <v>45.45</v>
      </c>
    </row>
    <row r="127" spans="4:7" ht="12.75">
      <c r="D127" s="17" t="s">
        <v>397</v>
      </c>
      <c r="F127" s="74">
        <v>45.45</v>
      </c>
      <c r="G127" s="24"/>
    </row>
    <row r="128" spans="1:37" ht="13.5">
      <c r="A128" s="5"/>
      <c r="B128" s="14" t="s">
        <v>145</v>
      </c>
      <c r="C128" s="14" t="s">
        <v>24</v>
      </c>
      <c r="D128" s="14" t="s">
        <v>398</v>
      </c>
      <c r="E128" s="5" t="s">
        <v>6</v>
      </c>
      <c r="F128" s="5" t="s">
        <v>6</v>
      </c>
      <c r="G128" s="28" t="s">
        <v>6</v>
      </c>
      <c r="H128" s="47">
        <f>SUM(H129:H151)</f>
        <v>0</v>
      </c>
      <c r="I128" s="47">
        <f>SUM(I129:I151)</f>
        <v>0</v>
      </c>
      <c r="J128" s="47">
        <f>H128+I128</f>
        <v>0</v>
      </c>
      <c r="K128" s="36"/>
      <c r="L128" s="47">
        <f>SUM(L129:L151)</f>
        <v>0.0104</v>
      </c>
      <c r="M128" s="36"/>
      <c r="Y128" s="36" t="s">
        <v>145</v>
      </c>
      <c r="AI128" s="47">
        <f>SUM(Z129:Z151)</f>
        <v>0</v>
      </c>
      <c r="AJ128" s="47">
        <f>SUM(AA129:AA151)</f>
        <v>0</v>
      </c>
      <c r="AK128" s="47">
        <f>SUM(AB129:AB151)</f>
        <v>0</v>
      </c>
    </row>
    <row r="129" spans="1:48" ht="13.5">
      <c r="A129" s="6" t="s">
        <v>45</v>
      </c>
      <c r="B129" s="6" t="s">
        <v>145</v>
      </c>
      <c r="C129" s="6" t="s">
        <v>185</v>
      </c>
      <c r="D129" s="6" t="s">
        <v>399</v>
      </c>
      <c r="E129" s="6" t="s">
        <v>627</v>
      </c>
      <c r="F129" s="73">
        <v>497</v>
      </c>
      <c r="G129" s="29">
        <v>0</v>
      </c>
      <c r="H129" s="22">
        <f>F129*AE129</f>
        <v>0</v>
      </c>
      <c r="I129" s="22">
        <f>J129-H129</f>
        <v>0</v>
      </c>
      <c r="J129" s="22">
        <f>F129*G129</f>
        <v>0</v>
      </c>
      <c r="K129" s="22">
        <v>0</v>
      </c>
      <c r="L129" s="22">
        <f>F129*K129</f>
        <v>0</v>
      </c>
      <c r="M129" s="41" t="s">
        <v>660</v>
      </c>
      <c r="P129" s="44">
        <f>IF(AG129="5",J129,0)</f>
        <v>0</v>
      </c>
      <c r="R129" s="44">
        <f>IF(AG129="1",H129,0)</f>
        <v>0</v>
      </c>
      <c r="S129" s="44">
        <f>IF(AG129="1",I129,0)</f>
        <v>0</v>
      </c>
      <c r="T129" s="44">
        <f>IF(AG129="7",H129,0)</f>
        <v>0</v>
      </c>
      <c r="U129" s="44">
        <f>IF(AG129="7",I129,0)</f>
        <v>0</v>
      </c>
      <c r="V129" s="44">
        <f>IF(AG129="2",H129,0)</f>
        <v>0</v>
      </c>
      <c r="W129" s="44">
        <f>IF(AG129="2",I129,0)</f>
        <v>0</v>
      </c>
      <c r="X129" s="44">
        <f>IF(AG129="0",J129,0)</f>
        <v>0</v>
      </c>
      <c r="Y129" s="36" t="s">
        <v>145</v>
      </c>
      <c r="Z129" s="22">
        <f>IF(AD129=0,J129,0)</f>
        <v>0</v>
      </c>
      <c r="AA129" s="22">
        <f>IF(AD129=15,J129,0)</f>
        <v>0</v>
      </c>
      <c r="AB129" s="22">
        <f>IF(AD129=21,J129,0)</f>
        <v>0</v>
      </c>
      <c r="AD129" s="44">
        <v>21</v>
      </c>
      <c r="AE129" s="44">
        <f>G129*0</f>
        <v>0</v>
      </c>
      <c r="AF129" s="44">
        <f>G129*(1-0)</f>
        <v>0</v>
      </c>
      <c r="AG129" s="41" t="s">
        <v>7</v>
      </c>
      <c r="AM129" s="44">
        <f>F129*AE129</f>
        <v>0</v>
      </c>
      <c r="AN129" s="44">
        <f>F129*AF129</f>
        <v>0</v>
      </c>
      <c r="AO129" s="45" t="s">
        <v>680</v>
      </c>
      <c r="AP129" s="45" t="s">
        <v>709</v>
      </c>
      <c r="AQ129" s="36" t="s">
        <v>718</v>
      </c>
      <c r="AS129" s="44">
        <f>AM129+AN129</f>
        <v>0</v>
      </c>
      <c r="AT129" s="44">
        <f>G129/(100-AU129)*100</f>
        <v>0</v>
      </c>
      <c r="AU129" s="44">
        <v>0</v>
      </c>
      <c r="AV129" s="44">
        <f>L129</f>
        <v>0</v>
      </c>
    </row>
    <row r="130" spans="4:7" ht="12.75">
      <c r="D130" s="17" t="s">
        <v>400</v>
      </c>
      <c r="F130" s="74">
        <v>497</v>
      </c>
      <c r="G130" s="24"/>
    </row>
    <row r="131" spans="1:48" ht="13.5">
      <c r="A131" s="6" t="s">
        <v>46</v>
      </c>
      <c r="B131" s="6" t="s">
        <v>145</v>
      </c>
      <c r="C131" s="6" t="s">
        <v>185</v>
      </c>
      <c r="D131" s="6" t="s">
        <v>399</v>
      </c>
      <c r="E131" s="6" t="s">
        <v>627</v>
      </c>
      <c r="F131" s="73">
        <v>497</v>
      </c>
      <c r="G131" s="29">
        <v>0</v>
      </c>
      <c r="H131" s="22">
        <f>F131*AE131</f>
        <v>0</v>
      </c>
      <c r="I131" s="22">
        <f>J131-H131</f>
        <v>0</v>
      </c>
      <c r="J131" s="22">
        <f>F131*G131</f>
        <v>0</v>
      </c>
      <c r="K131" s="22">
        <v>0</v>
      </c>
      <c r="L131" s="22">
        <f>F131*K131</f>
        <v>0</v>
      </c>
      <c r="M131" s="41" t="s">
        <v>660</v>
      </c>
      <c r="P131" s="44">
        <f>IF(AG131="5",J131,0)</f>
        <v>0</v>
      </c>
      <c r="R131" s="44">
        <f>IF(AG131="1",H131,0)</f>
        <v>0</v>
      </c>
      <c r="S131" s="44">
        <f>IF(AG131="1",I131,0)</f>
        <v>0</v>
      </c>
      <c r="T131" s="44">
        <f>IF(AG131="7",H131,0)</f>
        <v>0</v>
      </c>
      <c r="U131" s="44">
        <f>IF(AG131="7",I131,0)</f>
        <v>0</v>
      </c>
      <c r="V131" s="44">
        <f>IF(AG131="2",H131,0)</f>
        <v>0</v>
      </c>
      <c r="W131" s="44">
        <f>IF(AG131="2",I131,0)</f>
        <v>0</v>
      </c>
      <c r="X131" s="44">
        <f>IF(AG131="0",J131,0)</f>
        <v>0</v>
      </c>
      <c r="Y131" s="36" t="s">
        <v>145</v>
      </c>
      <c r="Z131" s="22">
        <f>IF(AD131=0,J131,0)</f>
        <v>0</v>
      </c>
      <c r="AA131" s="22">
        <f>IF(AD131=15,J131,0)</f>
        <v>0</v>
      </c>
      <c r="AB131" s="22">
        <f>IF(AD131=21,J131,0)</f>
        <v>0</v>
      </c>
      <c r="AD131" s="44">
        <v>21</v>
      </c>
      <c r="AE131" s="44">
        <f>G131*0</f>
        <v>0</v>
      </c>
      <c r="AF131" s="44">
        <f>G131*(1-0)</f>
        <v>0</v>
      </c>
      <c r="AG131" s="41" t="s">
        <v>7</v>
      </c>
      <c r="AM131" s="44">
        <f>F131*AE131</f>
        <v>0</v>
      </c>
      <c r="AN131" s="44">
        <f>F131*AF131</f>
        <v>0</v>
      </c>
      <c r="AO131" s="45" t="s">
        <v>680</v>
      </c>
      <c r="AP131" s="45" t="s">
        <v>709</v>
      </c>
      <c r="AQ131" s="36" t="s">
        <v>718</v>
      </c>
      <c r="AS131" s="44">
        <f>AM131+AN131</f>
        <v>0</v>
      </c>
      <c r="AT131" s="44">
        <f>G131/(100-AU131)*100</f>
        <v>0</v>
      </c>
      <c r="AU131" s="44">
        <v>0</v>
      </c>
      <c r="AV131" s="44">
        <f>L131</f>
        <v>0</v>
      </c>
    </row>
    <row r="132" spans="4:7" ht="12.75">
      <c r="D132" s="17" t="s">
        <v>401</v>
      </c>
      <c r="F132" s="74">
        <v>497</v>
      </c>
      <c r="G132" s="24"/>
    </row>
    <row r="133" spans="1:48" ht="13.5">
      <c r="A133" s="6" t="s">
        <v>47</v>
      </c>
      <c r="B133" s="6" t="s">
        <v>145</v>
      </c>
      <c r="C133" s="6" t="s">
        <v>186</v>
      </c>
      <c r="D133" s="6" t="s">
        <v>402</v>
      </c>
      <c r="E133" s="6" t="s">
        <v>627</v>
      </c>
      <c r="F133" s="73">
        <v>521.85</v>
      </c>
      <c r="G133" s="29">
        <v>0</v>
      </c>
      <c r="H133" s="22">
        <f>F133*AE133</f>
        <v>0</v>
      </c>
      <c r="I133" s="22">
        <f>J133-H133</f>
        <v>0</v>
      </c>
      <c r="J133" s="22">
        <f>F133*G133</f>
        <v>0</v>
      </c>
      <c r="K133" s="22">
        <v>0</v>
      </c>
      <c r="L133" s="22">
        <f>F133*K133</f>
        <v>0</v>
      </c>
      <c r="M133" s="41" t="s">
        <v>660</v>
      </c>
      <c r="P133" s="44">
        <f>IF(AG133="5",J133,0)</f>
        <v>0</v>
      </c>
      <c r="R133" s="44">
        <f>IF(AG133="1",H133,0)</f>
        <v>0</v>
      </c>
      <c r="S133" s="44">
        <f>IF(AG133="1",I133,0)</f>
        <v>0</v>
      </c>
      <c r="T133" s="44">
        <f>IF(AG133="7",H133,0)</f>
        <v>0</v>
      </c>
      <c r="U133" s="44">
        <f>IF(AG133="7",I133,0)</f>
        <v>0</v>
      </c>
      <c r="V133" s="44">
        <f>IF(AG133="2",H133,0)</f>
        <v>0</v>
      </c>
      <c r="W133" s="44">
        <f>IF(AG133="2",I133,0)</f>
        <v>0</v>
      </c>
      <c r="X133" s="44">
        <f>IF(AG133="0",J133,0)</f>
        <v>0</v>
      </c>
      <c r="Y133" s="36" t="s">
        <v>145</v>
      </c>
      <c r="Z133" s="22">
        <f>IF(AD133=0,J133,0)</f>
        <v>0</v>
      </c>
      <c r="AA133" s="22">
        <f>IF(AD133=15,J133,0)</f>
        <v>0</v>
      </c>
      <c r="AB133" s="22">
        <f>IF(AD133=21,J133,0)</f>
        <v>0</v>
      </c>
      <c r="AD133" s="44">
        <v>21</v>
      </c>
      <c r="AE133" s="44">
        <f>G133*0</f>
        <v>0</v>
      </c>
      <c r="AF133" s="44">
        <f>G133*(1-0)</f>
        <v>0</v>
      </c>
      <c r="AG133" s="41" t="s">
        <v>7</v>
      </c>
      <c r="AM133" s="44">
        <f>F133*AE133</f>
        <v>0</v>
      </c>
      <c r="AN133" s="44">
        <f>F133*AF133</f>
        <v>0</v>
      </c>
      <c r="AO133" s="45" t="s">
        <v>680</v>
      </c>
      <c r="AP133" s="45" t="s">
        <v>709</v>
      </c>
      <c r="AQ133" s="36" t="s">
        <v>718</v>
      </c>
      <c r="AS133" s="44">
        <f>AM133+AN133</f>
        <v>0</v>
      </c>
      <c r="AT133" s="44">
        <f>G133/(100-AU133)*100</f>
        <v>0</v>
      </c>
      <c r="AU133" s="44">
        <v>0</v>
      </c>
      <c r="AV133" s="44">
        <f>L133</f>
        <v>0</v>
      </c>
    </row>
    <row r="134" spans="4:7" ht="12.75">
      <c r="D134" s="17" t="s">
        <v>403</v>
      </c>
      <c r="F134" s="74">
        <v>521.85</v>
      </c>
      <c r="G134" s="24"/>
    </row>
    <row r="135" spans="1:48" ht="13.5">
      <c r="A135" s="6" t="s">
        <v>48</v>
      </c>
      <c r="B135" s="6" t="s">
        <v>145</v>
      </c>
      <c r="C135" s="6" t="s">
        <v>187</v>
      </c>
      <c r="D135" s="6" t="s">
        <v>404</v>
      </c>
      <c r="E135" s="6" t="s">
        <v>627</v>
      </c>
      <c r="F135" s="73">
        <v>34</v>
      </c>
      <c r="G135" s="29">
        <v>0</v>
      </c>
      <c r="H135" s="22">
        <f>F135*AE135</f>
        <v>0</v>
      </c>
      <c r="I135" s="22">
        <f>J135-H135</f>
        <v>0</v>
      </c>
      <c r="J135" s="22">
        <f>F135*G135</f>
        <v>0</v>
      </c>
      <c r="K135" s="22">
        <v>3E-05</v>
      </c>
      <c r="L135" s="22">
        <f>F135*K135</f>
        <v>0.00102</v>
      </c>
      <c r="M135" s="41" t="s">
        <v>660</v>
      </c>
      <c r="P135" s="44">
        <f>IF(AG135="5",J135,0)</f>
        <v>0</v>
      </c>
      <c r="R135" s="44">
        <f>IF(AG135="1",H135,0)</f>
        <v>0</v>
      </c>
      <c r="S135" s="44">
        <f>IF(AG135="1",I135,0)</f>
        <v>0</v>
      </c>
      <c r="T135" s="44">
        <f>IF(AG135="7",H135,0)</f>
        <v>0</v>
      </c>
      <c r="U135" s="44">
        <f>IF(AG135="7",I135,0)</f>
        <v>0</v>
      </c>
      <c r="V135" s="44">
        <f>IF(AG135="2",H135,0)</f>
        <v>0</v>
      </c>
      <c r="W135" s="44">
        <f>IF(AG135="2",I135,0)</f>
        <v>0</v>
      </c>
      <c r="X135" s="44">
        <f>IF(AG135="0",J135,0)</f>
        <v>0</v>
      </c>
      <c r="Y135" s="36" t="s">
        <v>145</v>
      </c>
      <c r="Z135" s="22">
        <f>IF(AD135=0,J135,0)</f>
        <v>0</v>
      </c>
      <c r="AA135" s="22">
        <f>IF(AD135=15,J135,0)</f>
        <v>0</v>
      </c>
      <c r="AB135" s="22">
        <f>IF(AD135=21,J135,0)</f>
        <v>0</v>
      </c>
      <c r="AD135" s="44">
        <v>21</v>
      </c>
      <c r="AE135" s="44">
        <f>G135*0.0397512437810945</f>
        <v>0</v>
      </c>
      <c r="AF135" s="44">
        <f>G135*(1-0.0397512437810945)</f>
        <v>0</v>
      </c>
      <c r="AG135" s="41" t="s">
        <v>7</v>
      </c>
      <c r="AM135" s="44">
        <f>F135*AE135</f>
        <v>0</v>
      </c>
      <c r="AN135" s="44">
        <f>F135*AF135</f>
        <v>0</v>
      </c>
      <c r="AO135" s="45" t="s">
        <v>680</v>
      </c>
      <c r="AP135" s="45" t="s">
        <v>709</v>
      </c>
      <c r="AQ135" s="36" t="s">
        <v>718</v>
      </c>
      <c r="AR135" s="36" t="s">
        <v>720</v>
      </c>
      <c r="AS135" s="44">
        <f>AM135+AN135</f>
        <v>0</v>
      </c>
      <c r="AT135" s="44">
        <f>G135/(100-AU135)*100</f>
        <v>0</v>
      </c>
      <c r="AU135" s="44">
        <v>0</v>
      </c>
      <c r="AV135" s="44">
        <f>L135</f>
        <v>0.00102</v>
      </c>
    </row>
    <row r="136" spans="4:7" ht="12.75">
      <c r="D136" s="18" t="s">
        <v>405</v>
      </c>
      <c r="G136" s="24"/>
    </row>
    <row r="137" spans="4:7" ht="12.75">
      <c r="D137" s="17" t="s">
        <v>406</v>
      </c>
      <c r="F137" s="74">
        <v>34</v>
      </c>
      <c r="G137" s="24"/>
    </row>
    <row r="138" spans="1:48" ht="13.5">
      <c r="A138" s="6" t="s">
        <v>49</v>
      </c>
      <c r="B138" s="6" t="s">
        <v>145</v>
      </c>
      <c r="C138" s="6" t="s">
        <v>188</v>
      </c>
      <c r="D138" s="6" t="s">
        <v>407</v>
      </c>
      <c r="E138" s="6" t="s">
        <v>627</v>
      </c>
      <c r="F138" s="73">
        <v>31</v>
      </c>
      <c r="G138" s="29">
        <v>0</v>
      </c>
      <c r="H138" s="22">
        <f>F138*AE138</f>
        <v>0</v>
      </c>
      <c r="I138" s="22">
        <f>J138-H138</f>
        <v>0</v>
      </c>
      <c r="J138" s="22">
        <f>F138*G138</f>
        <v>0</v>
      </c>
      <c r="K138" s="22">
        <v>3E-05</v>
      </c>
      <c r="L138" s="22">
        <f>F138*K138</f>
        <v>0.00093</v>
      </c>
      <c r="M138" s="41" t="s">
        <v>660</v>
      </c>
      <c r="P138" s="44">
        <f>IF(AG138="5",J138,0)</f>
        <v>0</v>
      </c>
      <c r="R138" s="44">
        <f>IF(AG138="1",H138,0)</f>
        <v>0</v>
      </c>
      <c r="S138" s="44">
        <f>IF(AG138="1",I138,0)</f>
        <v>0</v>
      </c>
      <c r="T138" s="44">
        <f>IF(AG138="7",H138,0)</f>
        <v>0</v>
      </c>
      <c r="U138" s="44">
        <f>IF(AG138="7",I138,0)</f>
        <v>0</v>
      </c>
      <c r="V138" s="44">
        <f>IF(AG138="2",H138,0)</f>
        <v>0</v>
      </c>
      <c r="W138" s="44">
        <f>IF(AG138="2",I138,0)</f>
        <v>0</v>
      </c>
      <c r="X138" s="44">
        <f>IF(AG138="0",J138,0)</f>
        <v>0</v>
      </c>
      <c r="Y138" s="36" t="s">
        <v>145</v>
      </c>
      <c r="Z138" s="22">
        <f>IF(AD138=0,J138,0)</f>
        <v>0</v>
      </c>
      <c r="AA138" s="22">
        <f>IF(AD138=15,J138,0)</f>
        <v>0</v>
      </c>
      <c r="AB138" s="22">
        <f>IF(AD138=21,J138,0)</f>
        <v>0</v>
      </c>
      <c r="AD138" s="44">
        <v>21</v>
      </c>
      <c r="AE138" s="44">
        <f>G138*0.036524612579763</f>
        <v>0</v>
      </c>
      <c r="AF138" s="44">
        <f>G138*(1-0.036524612579763)</f>
        <v>0</v>
      </c>
      <c r="AG138" s="41" t="s">
        <v>7</v>
      </c>
      <c r="AM138" s="44">
        <f>F138*AE138</f>
        <v>0</v>
      </c>
      <c r="AN138" s="44">
        <f>F138*AF138</f>
        <v>0</v>
      </c>
      <c r="AO138" s="45" t="s">
        <v>680</v>
      </c>
      <c r="AP138" s="45" t="s">
        <v>709</v>
      </c>
      <c r="AQ138" s="36" t="s">
        <v>718</v>
      </c>
      <c r="AR138" s="36" t="s">
        <v>720</v>
      </c>
      <c r="AS138" s="44">
        <f>AM138+AN138</f>
        <v>0</v>
      </c>
      <c r="AT138" s="44">
        <f>G138/(100-AU138)*100</f>
        <v>0</v>
      </c>
      <c r="AU138" s="44">
        <v>0</v>
      </c>
      <c r="AV138" s="44">
        <f>L138</f>
        <v>0.00093</v>
      </c>
    </row>
    <row r="139" spans="4:7" ht="12.75">
      <c r="D139" s="18" t="s">
        <v>408</v>
      </c>
      <c r="G139" s="24"/>
    </row>
    <row r="140" spans="4:7" ht="12.75">
      <c r="D140" s="17" t="s">
        <v>409</v>
      </c>
      <c r="F140" s="74">
        <v>31</v>
      </c>
      <c r="G140" s="24"/>
    </row>
    <row r="141" spans="1:48" ht="13.5">
      <c r="A141" s="6" t="s">
        <v>50</v>
      </c>
      <c r="B141" s="6" t="s">
        <v>145</v>
      </c>
      <c r="C141" s="6" t="s">
        <v>189</v>
      </c>
      <c r="D141" s="6" t="s">
        <v>410</v>
      </c>
      <c r="E141" s="6" t="s">
        <v>627</v>
      </c>
      <c r="F141" s="73">
        <v>34</v>
      </c>
      <c r="G141" s="29">
        <v>0</v>
      </c>
      <c r="H141" s="22">
        <f>F141*AE141</f>
        <v>0</v>
      </c>
      <c r="I141" s="22">
        <f>J141-H141</f>
        <v>0</v>
      </c>
      <c r="J141" s="22">
        <f>F141*G141</f>
        <v>0</v>
      </c>
      <c r="K141" s="22">
        <v>0</v>
      </c>
      <c r="L141" s="22">
        <f>F141*K141</f>
        <v>0</v>
      </c>
      <c r="M141" s="41" t="s">
        <v>660</v>
      </c>
      <c r="P141" s="44">
        <f>IF(AG141="5",J141,0)</f>
        <v>0</v>
      </c>
      <c r="R141" s="44">
        <f>IF(AG141="1",H141,0)</f>
        <v>0</v>
      </c>
      <c r="S141" s="44">
        <f>IF(AG141="1",I141,0)</f>
        <v>0</v>
      </c>
      <c r="T141" s="44">
        <f>IF(AG141="7",H141,0)</f>
        <v>0</v>
      </c>
      <c r="U141" s="44">
        <f>IF(AG141="7",I141,0)</f>
        <v>0</v>
      </c>
      <c r="V141" s="44">
        <f>IF(AG141="2",H141,0)</f>
        <v>0</v>
      </c>
      <c r="W141" s="44">
        <f>IF(AG141="2",I141,0)</f>
        <v>0</v>
      </c>
      <c r="X141" s="44">
        <f>IF(AG141="0",J141,0)</f>
        <v>0</v>
      </c>
      <c r="Y141" s="36" t="s">
        <v>145</v>
      </c>
      <c r="Z141" s="22">
        <f>IF(AD141=0,J141,0)</f>
        <v>0</v>
      </c>
      <c r="AA141" s="22">
        <f>IF(AD141=15,J141,0)</f>
        <v>0</v>
      </c>
      <c r="AB141" s="22">
        <f>IF(AD141=21,J141,0)</f>
        <v>0</v>
      </c>
      <c r="AD141" s="44">
        <v>21</v>
      </c>
      <c r="AE141" s="44">
        <f>G141*0.0255504284772577</f>
        <v>0</v>
      </c>
      <c r="AF141" s="44">
        <f>G141*(1-0.0255504284772577)</f>
        <v>0</v>
      </c>
      <c r="AG141" s="41" t="s">
        <v>7</v>
      </c>
      <c r="AM141" s="44">
        <f>F141*AE141</f>
        <v>0</v>
      </c>
      <c r="AN141" s="44">
        <f>F141*AF141</f>
        <v>0</v>
      </c>
      <c r="AO141" s="45" t="s">
        <v>680</v>
      </c>
      <c r="AP141" s="45" t="s">
        <v>709</v>
      </c>
      <c r="AQ141" s="36" t="s">
        <v>718</v>
      </c>
      <c r="AS141" s="44">
        <f>AM141+AN141</f>
        <v>0</v>
      </c>
      <c r="AT141" s="44">
        <f>G141/(100-AU141)*100</f>
        <v>0</v>
      </c>
      <c r="AU141" s="44">
        <v>0</v>
      </c>
      <c r="AV141" s="44">
        <f>L141</f>
        <v>0</v>
      </c>
    </row>
    <row r="142" spans="4:7" ht="12.75">
      <c r="D142" s="17" t="s">
        <v>40</v>
      </c>
      <c r="F142" s="74">
        <v>34</v>
      </c>
      <c r="G142" s="24"/>
    </row>
    <row r="143" spans="1:48" ht="13.5">
      <c r="A143" s="6" t="s">
        <v>51</v>
      </c>
      <c r="B143" s="6" t="s">
        <v>145</v>
      </c>
      <c r="C143" s="6" t="s">
        <v>190</v>
      </c>
      <c r="D143" s="6" t="s">
        <v>411</v>
      </c>
      <c r="E143" s="6" t="s">
        <v>629</v>
      </c>
      <c r="F143" s="73">
        <v>16.25</v>
      </c>
      <c r="G143" s="29">
        <v>0</v>
      </c>
      <c r="H143" s="22">
        <f>F143*AE143</f>
        <v>0</v>
      </c>
      <c r="I143" s="22">
        <f>J143-H143</f>
        <v>0</v>
      </c>
      <c r="J143" s="22">
        <f>F143*G143</f>
        <v>0</v>
      </c>
      <c r="K143" s="22">
        <v>0</v>
      </c>
      <c r="L143" s="22">
        <f>F143*K143</f>
        <v>0</v>
      </c>
      <c r="M143" s="41" t="s">
        <v>660</v>
      </c>
      <c r="P143" s="44">
        <f>IF(AG143="5",J143,0)</f>
        <v>0</v>
      </c>
      <c r="R143" s="44">
        <f>IF(AG143="1",H143,0)</f>
        <v>0</v>
      </c>
      <c r="S143" s="44">
        <f>IF(AG143="1",I143,0)</f>
        <v>0</v>
      </c>
      <c r="T143" s="44">
        <f>IF(AG143="7",H143,0)</f>
        <v>0</v>
      </c>
      <c r="U143" s="44">
        <f>IF(AG143="7",I143,0)</f>
        <v>0</v>
      </c>
      <c r="V143" s="44">
        <f>IF(AG143="2",H143,0)</f>
        <v>0</v>
      </c>
      <c r="W143" s="44">
        <f>IF(AG143="2",I143,0)</f>
        <v>0</v>
      </c>
      <c r="X143" s="44">
        <f>IF(AG143="0",J143,0)</f>
        <v>0</v>
      </c>
      <c r="Y143" s="36" t="s">
        <v>145</v>
      </c>
      <c r="Z143" s="22">
        <f>IF(AD143=0,J143,0)</f>
        <v>0</v>
      </c>
      <c r="AA143" s="22">
        <f>IF(AD143=15,J143,0)</f>
        <v>0</v>
      </c>
      <c r="AB143" s="22">
        <f>IF(AD143=21,J143,0)</f>
        <v>0</v>
      </c>
      <c r="AD143" s="44">
        <v>21</v>
      </c>
      <c r="AE143" s="44">
        <f>G143*0.332541824069077</f>
        <v>0</v>
      </c>
      <c r="AF143" s="44">
        <f>G143*(1-0.332541824069077)</f>
        <v>0</v>
      </c>
      <c r="AG143" s="41" t="s">
        <v>7</v>
      </c>
      <c r="AM143" s="44">
        <f>F143*AE143</f>
        <v>0</v>
      </c>
      <c r="AN143" s="44">
        <f>F143*AF143</f>
        <v>0</v>
      </c>
      <c r="AO143" s="45" t="s">
        <v>680</v>
      </c>
      <c r="AP143" s="45" t="s">
        <v>709</v>
      </c>
      <c r="AQ143" s="36" t="s">
        <v>718</v>
      </c>
      <c r="AS143" s="44">
        <f>AM143+AN143</f>
        <v>0</v>
      </c>
      <c r="AT143" s="44">
        <f>G143/(100-AU143)*100</f>
        <v>0</v>
      </c>
      <c r="AU143" s="44">
        <v>0</v>
      </c>
      <c r="AV143" s="44">
        <f>L143</f>
        <v>0</v>
      </c>
    </row>
    <row r="144" spans="4:7" ht="12.75">
      <c r="D144" s="17" t="s">
        <v>412</v>
      </c>
      <c r="F144" s="74">
        <v>16.25</v>
      </c>
      <c r="G144" s="24"/>
    </row>
    <row r="145" spans="1:48" ht="13.5">
      <c r="A145" s="6" t="s">
        <v>52</v>
      </c>
      <c r="B145" s="6" t="s">
        <v>145</v>
      </c>
      <c r="C145" s="6" t="s">
        <v>191</v>
      </c>
      <c r="D145" s="6" t="s">
        <v>413</v>
      </c>
      <c r="E145" s="6" t="s">
        <v>627</v>
      </c>
      <c r="F145" s="73">
        <v>65</v>
      </c>
      <c r="G145" s="29">
        <v>0</v>
      </c>
      <c r="H145" s="22">
        <f>F145*AE145</f>
        <v>0</v>
      </c>
      <c r="I145" s="22">
        <f>J145-H145</f>
        <v>0</v>
      </c>
      <c r="J145" s="22">
        <f>F145*G145</f>
        <v>0</v>
      </c>
      <c r="K145" s="22">
        <v>0.00013</v>
      </c>
      <c r="L145" s="22">
        <f>F145*K145</f>
        <v>0.00845</v>
      </c>
      <c r="M145" s="41" t="s">
        <v>660</v>
      </c>
      <c r="P145" s="44">
        <f>IF(AG145="5",J145,0)</f>
        <v>0</v>
      </c>
      <c r="R145" s="44">
        <f>IF(AG145="1",H145,0)</f>
        <v>0</v>
      </c>
      <c r="S145" s="44">
        <f>IF(AG145="1",I145,0)</f>
        <v>0</v>
      </c>
      <c r="T145" s="44">
        <f>IF(AG145="7",H145,0)</f>
        <v>0</v>
      </c>
      <c r="U145" s="44">
        <f>IF(AG145="7",I145,0)</f>
        <v>0</v>
      </c>
      <c r="V145" s="44">
        <f>IF(AG145="2",H145,0)</f>
        <v>0</v>
      </c>
      <c r="W145" s="44">
        <f>IF(AG145="2",I145,0)</f>
        <v>0</v>
      </c>
      <c r="X145" s="44">
        <f>IF(AG145="0",J145,0)</f>
        <v>0</v>
      </c>
      <c r="Y145" s="36" t="s">
        <v>145</v>
      </c>
      <c r="Z145" s="22">
        <f>IF(AD145=0,J145,0)</f>
        <v>0</v>
      </c>
      <c r="AA145" s="22">
        <f>IF(AD145=15,J145,0)</f>
        <v>0</v>
      </c>
      <c r="AB145" s="22">
        <f>IF(AD145=21,J145,0)</f>
        <v>0</v>
      </c>
      <c r="AD145" s="44">
        <v>21</v>
      </c>
      <c r="AE145" s="44">
        <f>G145*0.242574734811958</f>
        <v>0</v>
      </c>
      <c r="AF145" s="44">
        <f>G145*(1-0.242574734811958)</f>
        <v>0</v>
      </c>
      <c r="AG145" s="41" t="s">
        <v>7</v>
      </c>
      <c r="AM145" s="44">
        <f>F145*AE145</f>
        <v>0</v>
      </c>
      <c r="AN145" s="44">
        <f>F145*AF145</f>
        <v>0</v>
      </c>
      <c r="AO145" s="45" t="s">
        <v>680</v>
      </c>
      <c r="AP145" s="45" t="s">
        <v>709</v>
      </c>
      <c r="AQ145" s="36" t="s">
        <v>718</v>
      </c>
      <c r="AS145" s="44">
        <f>AM145+AN145</f>
        <v>0</v>
      </c>
      <c r="AT145" s="44">
        <f>G145/(100-AU145)*100</f>
        <v>0</v>
      </c>
      <c r="AU145" s="44">
        <v>0</v>
      </c>
      <c r="AV145" s="44">
        <f>L145</f>
        <v>0.00845</v>
      </c>
    </row>
    <row r="146" spans="4:7" ht="12.75">
      <c r="D146" s="17" t="s">
        <v>414</v>
      </c>
      <c r="F146" s="74">
        <v>65</v>
      </c>
      <c r="G146" s="24"/>
    </row>
    <row r="147" spans="1:48" ht="13.5">
      <c r="A147" s="6" t="s">
        <v>53</v>
      </c>
      <c r="B147" s="6" t="s">
        <v>145</v>
      </c>
      <c r="C147" s="6" t="s">
        <v>192</v>
      </c>
      <c r="D147" s="6" t="s">
        <v>415</v>
      </c>
      <c r="E147" s="6" t="s">
        <v>627</v>
      </c>
      <c r="F147" s="73">
        <v>34</v>
      </c>
      <c r="G147" s="29">
        <v>0</v>
      </c>
      <c r="H147" s="22">
        <f>F147*AE147</f>
        <v>0</v>
      </c>
      <c r="I147" s="22">
        <f>J147-H147</f>
        <v>0</v>
      </c>
      <c r="J147" s="22">
        <f>F147*G147</f>
        <v>0</v>
      </c>
      <c r="K147" s="22">
        <v>0</v>
      </c>
      <c r="L147" s="22">
        <f>F147*K147</f>
        <v>0</v>
      </c>
      <c r="M147" s="41" t="s">
        <v>660</v>
      </c>
      <c r="P147" s="44">
        <f>IF(AG147="5",J147,0)</f>
        <v>0</v>
      </c>
      <c r="R147" s="44">
        <f>IF(AG147="1",H147,0)</f>
        <v>0</v>
      </c>
      <c r="S147" s="44">
        <f>IF(AG147="1",I147,0)</f>
        <v>0</v>
      </c>
      <c r="T147" s="44">
        <f>IF(AG147="7",H147,0)</f>
        <v>0</v>
      </c>
      <c r="U147" s="44">
        <f>IF(AG147="7",I147,0)</f>
        <v>0</v>
      </c>
      <c r="V147" s="44">
        <f>IF(AG147="2",H147,0)</f>
        <v>0</v>
      </c>
      <c r="W147" s="44">
        <f>IF(AG147="2",I147,0)</f>
        <v>0</v>
      </c>
      <c r="X147" s="44">
        <f>IF(AG147="0",J147,0)</f>
        <v>0</v>
      </c>
      <c r="Y147" s="36" t="s">
        <v>145</v>
      </c>
      <c r="Z147" s="22">
        <f>IF(AD147=0,J147,0)</f>
        <v>0</v>
      </c>
      <c r="AA147" s="22">
        <f>IF(AD147=15,J147,0)</f>
        <v>0</v>
      </c>
      <c r="AB147" s="22">
        <f>IF(AD147=21,J147,0)</f>
        <v>0</v>
      </c>
      <c r="AD147" s="44">
        <v>21</v>
      </c>
      <c r="AE147" s="44">
        <f>G147*0</f>
        <v>0</v>
      </c>
      <c r="AF147" s="44">
        <f>G147*(1-0)</f>
        <v>0</v>
      </c>
      <c r="AG147" s="41" t="s">
        <v>7</v>
      </c>
      <c r="AM147" s="44">
        <f>F147*AE147</f>
        <v>0</v>
      </c>
      <c r="AN147" s="44">
        <f>F147*AF147</f>
        <v>0</v>
      </c>
      <c r="AO147" s="45" t="s">
        <v>680</v>
      </c>
      <c r="AP147" s="45" t="s">
        <v>709</v>
      </c>
      <c r="AQ147" s="36" t="s">
        <v>718</v>
      </c>
      <c r="AS147" s="44">
        <f>AM147+AN147</f>
        <v>0</v>
      </c>
      <c r="AT147" s="44">
        <f>G147/(100-AU147)*100</f>
        <v>0</v>
      </c>
      <c r="AU147" s="44">
        <v>0</v>
      </c>
      <c r="AV147" s="44">
        <f>L147</f>
        <v>0</v>
      </c>
    </row>
    <row r="148" spans="4:7" ht="12.75">
      <c r="D148" s="17" t="s">
        <v>40</v>
      </c>
      <c r="F148" s="74">
        <v>34</v>
      </c>
      <c r="G148" s="24"/>
    </row>
    <row r="149" spans="1:48" ht="13.5">
      <c r="A149" s="6" t="s">
        <v>54</v>
      </c>
      <c r="B149" s="6" t="s">
        <v>145</v>
      </c>
      <c r="C149" s="6" t="s">
        <v>193</v>
      </c>
      <c r="D149" s="6" t="s">
        <v>416</v>
      </c>
      <c r="E149" s="6" t="s">
        <v>627</v>
      </c>
      <c r="F149" s="73">
        <v>31</v>
      </c>
      <c r="G149" s="29">
        <v>0</v>
      </c>
      <c r="H149" s="22">
        <f>F149*AE149</f>
        <v>0</v>
      </c>
      <c r="I149" s="22">
        <f>J149-H149</f>
        <v>0</v>
      </c>
      <c r="J149" s="22">
        <f>F149*G149</f>
        <v>0</v>
      </c>
      <c r="K149" s="22">
        <v>0</v>
      </c>
      <c r="L149" s="22">
        <f>F149*K149</f>
        <v>0</v>
      </c>
      <c r="M149" s="41" t="s">
        <v>660</v>
      </c>
      <c r="P149" s="44">
        <f>IF(AG149="5",J149,0)</f>
        <v>0</v>
      </c>
      <c r="R149" s="44">
        <f>IF(AG149="1",H149,0)</f>
        <v>0</v>
      </c>
      <c r="S149" s="44">
        <f>IF(AG149="1",I149,0)</f>
        <v>0</v>
      </c>
      <c r="T149" s="44">
        <f>IF(AG149="7",H149,0)</f>
        <v>0</v>
      </c>
      <c r="U149" s="44">
        <f>IF(AG149="7",I149,0)</f>
        <v>0</v>
      </c>
      <c r="V149" s="44">
        <f>IF(AG149="2",H149,0)</f>
        <v>0</v>
      </c>
      <c r="W149" s="44">
        <f>IF(AG149="2",I149,0)</f>
        <v>0</v>
      </c>
      <c r="X149" s="44">
        <f>IF(AG149="0",J149,0)</f>
        <v>0</v>
      </c>
      <c r="Y149" s="36" t="s">
        <v>145</v>
      </c>
      <c r="Z149" s="22">
        <f>IF(AD149=0,J149,0)</f>
        <v>0</v>
      </c>
      <c r="AA149" s="22">
        <f>IF(AD149=15,J149,0)</f>
        <v>0</v>
      </c>
      <c r="AB149" s="22">
        <f>IF(AD149=21,J149,0)</f>
        <v>0</v>
      </c>
      <c r="AD149" s="44">
        <v>21</v>
      </c>
      <c r="AE149" s="44">
        <f>G149*0.0155957634598411</f>
        <v>0</v>
      </c>
      <c r="AF149" s="44">
        <f>G149*(1-0.0155957634598411)</f>
        <v>0</v>
      </c>
      <c r="AG149" s="41" t="s">
        <v>7</v>
      </c>
      <c r="AM149" s="44">
        <f>F149*AE149</f>
        <v>0</v>
      </c>
      <c r="AN149" s="44">
        <f>F149*AF149</f>
        <v>0</v>
      </c>
      <c r="AO149" s="45" t="s">
        <v>680</v>
      </c>
      <c r="AP149" s="45" t="s">
        <v>709</v>
      </c>
      <c r="AQ149" s="36" t="s">
        <v>718</v>
      </c>
      <c r="AS149" s="44">
        <f>AM149+AN149</f>
        <v>0</v>
      </c>
      <c r="AT149" s="44">
        <f>G149/(100-AU149)*100</f>
        <v>0</v>
      </c>
      <c r="AU149" s="44">
        <v>0</v>
      </c>
      <c r="AV149" s="44">
        <f>L149</f>
        <v>0</v>
      </c>
    </row>
    <row r="150" spans="4:7" ht="12.75">
      <c r="D150" s="17" t="s">
        <v>37</v>
      </c>
      <c r="F150" s="74">
        <v>31</v>
      </c>
      <c r="G150" s="24"/>
    </row>
    <row r="151" spans="1:48" ht="13.5">
      <c r="A151" s="6" t="s">
        <v>55</v>
      </c>
      <c r="B151" s="6" t="s">
        <v>145</v>
      </c>
      <c r="C151" s="6" t="s">
        <v>194</v>
      </c>
      <c r="D151" s="6" t="s">
        <v>417</v>
      </c>
      <c r="E151" s="6" t="s">
        <v>627</v>
      </c>
      <c r="F151" s="73">
        <v>31</v>
      </c>
      <c r="G151" s="29">
        <v>0</v>
      </c>
      <c r="H151" s="22">
        <f>F151*AE151</f>
        <v>0</v>
      </c>
      <c r="I151" s="22">
        <f>J151-H151</f>
        <v>0</v>
      </c>
      <c r="J151" s="22">
        <f>F151*G151</f>
        <v>0</v>
      </c>
      <c r="K151" s="22">
        <v>0</v>
      </c>
      <c r="L151" s="22">
        <f>F151*K151</f>
        <v>0</v>
      </c>
      <c r="M151" s="41" t="s">
        <v>660</v>
      </c>
      <c r="P151" s="44">
        <f>IF(AG151="5",J151,0)</f>
        <v>0</v>
      </c>
      <c r="R151" s="44">
        <f>IF(AG151="1",H151,0)</f>
        <v>0</v>
      </c>
      <c r="S151" s="44">
        <f>IF(AG151="1",I151,0)</f>
        <v>0</v>
      </c>
      <c r="T151" s="44">
        <f>IF(AG151="7",H151,0)</f>
        <v>0</v>
      </c>
      <c r="U151" s="44">
        <f>IF(AG151="7",I151,0)</f>
        <v>0</v>
      </c>
      <c r="V151" s="44">
        <f>IF(AG151="2",H151,0)</f>
        <v>0</v>
      </c>
      <c r="W151" s="44">
        <f>IF(AG151="2",I151,0)</f>
        <v>0</v>
      </c>
      <c r="X151" s="44">
        <f>IF(AG151="0",J151,0)</f>
        <v>0</v>
      </c>
      <c r="Y151" s="36" t="s">
        <v>145</v>
      </c>
      <c r="Z151" s="22">
        <f>IF(AD151=0,J151,0)</f>
        <v>0</v>
      </c>
      <c r="AA151" s="22">
        <f>IF(AD151=15,J151,0)</f>
        <v>0</v>
      </c>
      <c r="AB151" s="22">
        <f>IF(AD151=21,J151,0)</f>
        <v>0</v>
      </c>
      <c r="AD151" s="44">
        <v>21</v>
      </c>
      <c r="AE151" s="44">
        <f>G151*0</f>
        <v>0</v>
      </c>
      <c r="AF151" s="44">
        <f>G151*(1-0)</f>
        <v>0</v>
      </c>
      <c r="AG151" s="41" t="s">
        <v>7</v>
      </c>
      <c r="AM151" s="44">
        <f>F151*AE151</f>
        <v>0</v>
      </c>
      <c r="AN151" s="44">
        <f>F151*AF151</f>
        <v>0</v>
      </c>
      <c r="AO151" s="45" t="s">
        <v>680</v>
      </c>
      <c r="AP151" s="45" t="s">
        <v>709</v>
      </c>
      <c r="AQ151" s="36" t="s">
        <v>718</v>
      </c>
      <c r="AS151" s="44">
        <f>AM151+AN151</f>
        <v>0</v>
      </c>
      <c r="AT151" s="44">
        <f>G151/(100-AU151)*100</f>
        <v>0</v>
      </c>
      <c r="AU151" s="44">
        <v>0</v>
      </c>
      <c r="AV151" s="44">
        <f>L151</f>
        <v>0</v>
      </c>
    </row>
    <row r="152" spans="4:7" ht="12.75">
      <c r="D152" s="17" t="s">
        <v>37</v>
      </c>
      <c r="F152" s="74">
        <v>31</v>
      </c>
      <c r="G152" s="24"/>
    </row>
    <row r="153" spans="1:37" ht="13.5">
      <c r="A153" s="5"/>
      <c r="B153" s="14" t="s">
        <v>145</v>
      </c>
      <c r="C153" s="14" t="s">
        <v>25</v>
      </c>
      <c r="D153" s="14" t="s">
        <v>418</v>
      </c>
      <c r="E153" s="5" t="s">
        <v>6</v>
      </c>
      <c r="F153" s="5" t="s">
        <v>6</v>
      </c>
      <c r="G153" s="28" t="s">
        <v>6</v>
      </c>
      <c r="H153" s="47">
        <f>SUM(H154:H157)</f>
        <v>0</v>
      </c>
      <c r="I153" s="47">
        <f>SUM(I154:I157)</f>
        <v>0</v>
      </c>
      <c r="J153" s="47">
        <f>H153+I153</f>
        <v>0</v>
      </c>
      <c r="K153" s="36"/>
      <c r="L153" s="47">
        <f>SUM(L154:L157)</f>
        <v>0</v>
      </c>
      <c r="M153" s="36"/>
      <c r="Y153" s="36" t="s">
        <v>145</v>
      </c>
      <c r="AI153" s="47">
        <f>SUM(Z154:Z157)</f>
        <v>0</v>
      </c>
      <c r="AJ153" s="47">
        <f>SUM(AA154:AA157)</f>
        <v>0</v>
      </c>
      <c r="AK153" s="47">
        <f>SUM(AB154:AB157)</f>
        <v>0</v>
      </c>
    </row>
    <row r="154" spans="1:48" ht="13.5">
      <c r="A154" s="6" t="s">
        <v>56</v>
      </c>
      <c r="B154" s="6" t="s">
        <v>145</v>
      </c>
      <c r="C154" s="6" t="s">
        <v>195</v>
      </c>
      <c r="D154" s="6" t="s">
        <v>419</v>
      </c>
      <c r="E154" s="6" t="s">
        <v>629</v>
      </c>
      <c r="F154" s="73">
        <v>109.2</v>
      </c>
      <c r="G154" s="29">
        <v>0</v>
      </c>
      <c r="H154" s="22">
        <f>F154*AE154</f>
        <v>0</v>
      </c>
      <c r="I154" s="22">
        <f>J154-H154</f>
        <v>0</v>
      </c>
      <c r="J154" s="22">
        <f>F154*G154</f>
        <v>0</v>
      </c>
      <c r="K154" s="22">
        <v>0</v>
      </c>
      <c r="L154" s="22">
        <f>F154*K154</f>
        <v>0</v>
      </c>
      <c r="M154" s="41" t="s">
        <v>660</v>
      </c>
      <c r="P154" s="44">
        <f>IF(AG154="5",J154,0)</f>
        <v>0</v>
      </c>
      <c r="R154" s="44">
        <f>IF(AG154="1",H154,0)</f>
        <v>0</v>
      </c>
      <c r="S154" s="44">
        <f>IF(AG154="1",I154,0)</f>
        <v>0</v>
      </c>
      <c r="T154" s="44">
        <f>IF(AG154="7",H154,0)</f>
        <v>0</v>
      </c>
      <c r="U154" s="44">
        <f>IF(AG154="7",I154,0)</f>
        <v>0</v>
      </c>
      <c r="V154" s="44">
        <f>IF(AG154="2",H154,0)</f>
        <v>0</v>
      </c>
      <c r="W154" s="44">
        <f>IF(AG154="2",I154,0)</f>
        <v>0</v>
      </c>
      <c r="X154" s="44">
        <f>IF(AG154="0",J154,0)</f>
        <v>0</v>
      </c>
      <c r="Y154" s="36" t="s">
        <v>145</v>
      </c>
      <c r="Z154" s="22">
        <f>IF(AD154=0,J154,0)</f>
        <v>0</v>
      </c>
      <c r="AA154" s="22">
        <f>IF(AD154=15,J154,0)</f>
        <v>0</v>
      </c>
      <c r="AB154" s="22">
        <f>IF(AD154=21,J154,0)</f>
        <v>0</v>
      </c>
      <c r="AD154" s="44">
        <v>21</v>
      </c>
      <c r="AE154" s="44">
        <f>G154*0</f>
        <v>0</v>
      </c>
      <c r="AF154" s="44">
        <f>G154*(1-0)</f>
        <v>0</v>
      </c>
      <c r="AG154" s="41" t="s">
        <v>7</v>
      </c>
      <c r="AM154" s="44">
        <f>F154*AE154</f>
        <v>0</v>
      </c>
      <c r="AN154" s="44">
        <f>F154*AF154</f>
        <v>0</v>
      </c>
      <c r="AO154" s="45" t="s">
        <v>681</v>
      </c>
      <c r="AP154" s="45" t="s">
        <v>709</v>
      </c>
      <c r="AQ154" s="36" t="s">
        <v>718</v>
      </c>
      <c r="AS154" s="44">
        <f>AM154+AN154</f>
        <v>0</v>
      </c>
      <c r="AT154" s="44">
        <f>G154/(100-AU154)*100</f>
        <v>0</v>
      </c>
      <c r="AU154" s="44">
        <v>0</v>
      </c>
      <c r="AV154" s="44">
        <f>L154</f>
        <v>0</v>
      </c>
    </row>
    <row r="155" spans="4:7" ht="12.75">
      <c r="D155" s="17" t="s">
        <v>420</v>
      </c>
      <c r="F155" s="74">
        <v>109.2</v>
      </c>
      <c r="G155" s="24"/>
    </row>
    <row r="156" spans="3:13" ht="12.75">
      <c r="C156" s="15" t="s">
        <v>142</v>
      </c>
      <c r="D156" s="177" t="s">
        <v>421</v>
      </c>
      <c r="E156" s="178"/>
      <c r="F156" s="178"/>
      <c r="G156" s="179"/>
      <c r="H156" s="178"/>
      <c r="I156" s="178"/>
      <c r="J156" s="178"/>
      <c r="K156" s="178"/>
      <c r="L156" s="178"/>
      <c r="M156" s="178"/>
    </row>
    <row r="157" spans="1:48" ht="13.5">
      <c r="A157" s="6" t="s">
        <v>57</v>
      </c>
      <c r="B157" s="6" t="s">
        <v>145</v>
      </c>
      <c r="C157" s="6" t="s">
        <v>196</v>
      </c>
      <c r="D157" s="6" t="s">
        <v>422</v>
      </c>
      <c r="E157" s="6" t="s">
        <v>629</v>
      </c>
      <c r="F157" s="73">
        <v>262.98</v>
      </c>
      <c r="G157" s="29">
        <v>0</v>
      </c>
      <c r="H157" s="22">
        <f>F157*AE157</f>
        <v>0</v>
      </c>
      <c r="I157" s="22">
        <f>J157-H157</f>
        <v>0</v>
      </c>
      <c r="J157" s="22">
        <f>F157*G157</f>
        <v>0</v>
      </c>
      <c r="K157" s="22">
        <v>0</v>
      </c>
      <c r="L157" s="22">
        <f>F157*K157</f>
        <v>0</v>
      </c>
      <c r="M157" s="41" t="s">
        <v>660</v>
      </c>
      <c r="P157" s="44">
        <f>IF(AG157="5",J157,0)</f>
        <v>0</v>
      </c>
      <c r="R157" s="44">
        <f>IF(AG157="1",H157,0)</f>
        <v>0</v>
      </c>
      <c r="S157" s="44">
        <f>IF(AG157="1",I157,0)</f>
        <v>0</v>
      </c>
      <c r="T157" s="44">
        <f>IF(AG157="7",H157,0)</f>
        <v>0</v>
      </c>
      <c r="U157" s="44">
        <f>IF(AG157="7",I157,0)</f>
        <v>0</v>
      </c>
      <c r="V157" s="44">
        <f>IF(AG157="2",H157,0)</f>
        <v>0</v>
      </c>
      <c r="W157" s="44">
        <f>IF(AG157="2",I157,0)</f>
        <v>0</v>
      </c>
      <c r="X157" s="44">
        <f>IF(AG157="0",J157,0)</f>
        <v>0</v>
      </c>
      <c r="Y157" s="36" t="s">
        <v>145</v>
      </c>
      <c r="Z157" s="22">
        <f>IF(AD157=0,J157,0)</f>
        <v>0</v>
      </c>
      <c r="AA157" s="22">
        <f>IF(AD157=15,J157,0)</f>
        <v>0</v>
      </c>
      <c r="AB157" s="22">
        <f>IF(AD157=21,J157,0)</f>
        <v>0</v>
      </c>
      <c r="AD157" s="44">
        <v>21</v>
      </c>
      <c r="AE157" s="44">
        <f>G157*0</f>
        <v>0</v>
      </c>
      <c r="AF157" s="44">
        <f>G157*(1-0)</f>
        <v>0</v>
      </c>
      <c r="AG157" s="41" t="s">
        <v>7</v>
      </c>
      <c r="AM157" s="44">
        <f>F157*AE157</f>
        <v>0</v>
      </c>
      <c r="AN157" s="44">
        <f>F157*AF157</f>
        <v>0</v>
      </c>
      <c r="AO157" s="45" t="s">
        <v>681</v>
      </c>
      <c r="AP157" s="45" t="s">
        <v>709</v>
      </c>
      <c r="AQ157" s="36" t="s">
        <v>718</v>
      </c>
      <c r="AS157" s="44">
        <f>AM157+AN157</f>
        <v>0</v>
      </c>
      <c r="AT157" s="44">
        <f>G157/(100-AU157)*100</f>
        <v>0</v>
      </c>
      <c r="AU157" s="44">
        <v>0</v>
      </c>
      <c r="AV157" s="44">
        <f>L157</f>
        <v>0</v>
      </c>
    </row>
    <row r="158" spans="4:7" ht="12.75">
      <c r="D158" s="17" t="s">
        <v>369</v>
      </c>
      <c r="F158" s="74">
        <v>0</v>
      </c>
      <c r="G158" s="24"/>
    </row>
    <row r="159" spans="4:7" ht="12.75">
      <c r="D159" s="17" t="s">
        <v>347</v>
      </c>
      <c r="F159" s="74">
        <v>139.95</v>
      </c>
      <c r="G159" s="24"/>
    </row>
    <row r="160" spans="4:7" ht="12.75">
      <c r="D160" s="17" t="s">
        <v>348</v>
      </c>
      <c r="F160" s="74">
        <v>87.4</v>
      </c>
      <c r="G160" s="24"/>
    </row>
    <row r="161" spans="4:7" ht="12.75">
      <c r="D161" s="17" t="s">
        <v>357</v>
      </c>
      <c r="F161" s="74">
        <v>0</v>
      </c>
      <c r="G161" s="24"/>
    </row>
    <row r="162" spans="4:7" ht="12.75">
      <c r="D162" s="17" t="s">
        <v>358</v>
      </c>
      <c r="F162" s="74">
        <v>6.126</v>
      </c>
      <c r="G162" s="24"/>
    </row>
    <row r="163" spans="4:7" ht="12.75">
      <c r="D163" s="17" t="s">
        <v>359</v>
      </c>
      <c r="F163" s="74">
        <v>5</v>
      </c>
      <c r="G163" s="24"/>
    </row>
    <row r="164" spans="4:7" ht="12.75">
      <c r="D164" s="17" t="s">
        <v>363</v>
      </c>
      <c r="F164" s="74">
        <v>24.504</v>
      </c>
      <c r="G164" s="24"/>
    </row>
    <row r="165" spans="1:37" ht="13.5">
      <c r="A165" s="5"/>
      <c r="B165" s="14" t="s">
        <v>145</v>
      </c>
      <c r="C165" s="14" t="s">
        <v>27</v>
      </c>
      <c r="D165" s="14" t="s">
        <v>423</v>
      </c>
      <c r="E165" s="5" t="s">
        <v>6</v>
      </c>
      <c r="F165" s="5" t="s">
        <v>6</v>
      </c>
      <c r="G165" s="28" t="s">
        <v>6</v>
      </c>
      <c r="H165" s="47">
        <f>SUM(H166:H174)</f>
        <v>0</v>
      </c>
      <c r="I165" s="47">
        <f>SUM(I166:I174)</f>
        <v>0</v>
      </c>
      <c r="J165" s="47">
        <f>H165+I165</f>
        <v>0</v>
      </c>
      <c r="K165" s="36"/>
      <c r="L165" s="47">
        <f>SUM(L166:L174)</f>
        <v>28.25273</v>
      </c>
      <c r="M165" s="36"/>
      <c r="Y165" s="36" t="s">
        <v>145</v>
      </c>
      <c r="AI165" s="47">
        <f>SUM(Z166:Z174)</f>
        <v>0</v>
      </c>
      <c r="AJ165" s="47">
        <f>SUM(AA166:AA174)</f>
        <v>0</v>
      </c>
      <c r="AK165" s="47">
        <f>SUM(AB166:AB174)</f>
        <v>0</v>
      </c>
    </row>
    <row r="166" spans="1:48" ht="13.5">
      <c r="A166" s="6" t="s">
        <v>58</v>
      </c>
      <c r="B166" s="6" t="s">
        <v>145</v>
      </c>
      <c r="C166" s="6" t="s">
        <v>197</v>
      </c>
      <c r="D166" s="6" t="s">
        <v>424</v>
      </c>
      <c r="E166" s="6" t="s">
        <v>628</v>
      </c>
      <c r="F166" s="73">
        <v>101</v>
      </c>
      <c r="G166" s="29">
        <v>0</v>
      </c>
      <c r="H166" s="22">
        <f>F166*AE166</f>
        <v>0</v>
      </c>
      <c r="I166" s="22">
        <f>J166-H166</f>
        <v>0</v>
      </c>
      <c r="J166" s="22">
        <f>F166*G166</f>
        <v>0</v>
      </c>
      <c r="K166" s="22">
        <v>0.24385</v>
      </c>
      <c r="L166" s="22">
        <f>F166*K166</f>
        <v>24.62885</v>
      </c>
      <c r="M166" s="41" t="s">
        <v>660</v>
      </c>
      <c r="P166" s="44">
        <f>IF(AG166="5",J166,0)</f>
        <v>0</v>
      </c>
      <c r="R166" s="44">
        <f>IF(AG166="1",H166,0)</f>
        <v>0</v>
      </c>
      <c r="S166" s="44">
        <f>IF(AG166="1",I166,0)</f>
        <v>0</v>
      </c>
      <c r="T166" s="44">
        <f>IF(AG166="7",H166,0)</f>
        <v>0</v>
      </c>
      <c r="U166" s="44">
        <f>IF(AG166="7",I166,0)</f>
        <v>0</v>
      </c>
      <c r="V166" s="44">
        <f>IF(AG166="2",H166,0)</f>
        <v>0</v>
      </c>
      <c r="W166" s="44">
        <f>IF(AG166="2",I166,0)</f>
        <v>0</v>
      </c>
      <c r="X166" s="44">
        <f>IF(AG166="0",J166,0)</f>
        <v>0</v>
      </c>
      <c r="Y166" s="36" t="s">
        <v>145</v>
      </c>
      <c r="Z166" s="22">
        <f>IF(AD166=0,J166,0)</f>
        <v>0</v>
      </c>
      <c r="AA166" s="22">
        <f>IF(AD166=15,J166,0)</f>
        <v>0</v>
      </c>
      <c r="AB166" s="22">
        <f>IF(AD166=21,J166,0)</f>
        <v>0</v>
      </c>
      <c r="AD166" s="44">
        <v>21</v>
      </c>
      <c r="AE166" s="44">
        <f>G166*0.750791710945802</f>
        <v>0</v>
      </c>
      <c r="AF166" s="44">
        <f>G166*(1-0.750791710945802)</f>
        <v>0</v>
      </c>
      <c r="AG166" s="41" t="s">
        <v>7</v>
      </c>
      <c r="AM166" s="44">
        <f>F166*AE166</f>
        <v>0</v>
      </c>
      <c r="AN166" s="44">
        <f>F166*AF166</f>
        <v>0</v>
      </c>
      <c r="AO166" s="45" t="s">
        <v>682</v>
      </c>
      <c r="AP166" s="45" t="s">
        <v>710</v>
      </c>
      <c r="AQ166" s="36" t="s">
        <v>718</v>
      </c>
      <c r="AS166" s="44">
        <f>AM166+AN166</f>
        <v>0</v>
      </c>
      <c r="AT166" s="44">
        <f>G166/(100-AU166)*100</f>
        <v>0</v>
      </c>
      <c r="AU166" s="44">
        <v>0</v>
      </c>
      <c r="AV166" s="44">
        <f>L166</f>
        <v>24.62885</v>
      </c>
    </row>
    <row r="167" spans="4:7" ht="12.75">
      <c r="D167" s="17" t="s">
        <v>107</v>
      </c>
      <c r="F167" s="74">
        <v>101</v>
      </c>
      <c r="G167" s="24"/>
    </row>
    <row r="168" spans="1:48" ht="13.5">
      <c r="A168" s="6" t="s">
        <v>59</v>
      </c>
      <c r="B168" s="6" t="s">
        <v>145</v>
      </c>
      <c r="C168" s="6" t="s">
        <v>198</v>
      </c>
      <c r="D168" s="6" t="s">
        <v>425</v>
      </c>
      <c r="E168" s="6" t="s">
        <v>627</v>
      </c>
      <c r="F168" s="73">
        <v>222.2</v>
      </c>
      <c r="G168" s="29">
        <v>0</v>
      </c>
      <c r="H168" s="22">
        <f>F168*AE168</f>
        <v>0</v>
      </c>
      <c r="I168" s="22">
        <f>J168-H168</f>
        <v>0</v>
      </c>
      <c r="J168" s="22">
        <f>F168*G168</f>
        <v>0</v>
      </c>
      <c r="K168" s="22">
        <v>4E-05</v>
      </c>
      <c r="L168" s="22">
        <f>F168*K168</f>
        <v>0.008888</v>
      </c>
      <c r="M168" s="41" t="s">
        <v>660</v>
      </c>
      <c r="P168" s="44">
        <f>IF(AG168="5",J168,0)</f>
        <v>0</v>
      </c>
      <c r="R168" s="44">
        <f>IF(AG168="1",H168,0)</f>
        <v>0</v>
      </c>
      <c r="S168" s="44">
        <f>IF(AG168="1",I168,0)</f>
        <v>0</v>
      </c>
      <c r="T168" s="44">
        <f>IF(AG168="7",H168,0)</f>
        <v>0</v>
      </c>
      <c r="U168" s="44">
        <f>IF(AG168="7",I168,0)</f>
        <v>0</v>
      </c>
      <c r="V168" s="44">
        <f>IF(AG168="2",H168,0)</f>
        <v>0</v>
      </c>
      <c r="W168" s="44">
        <f>IF(AG168="2",I168,0)</f>
        <v>0</v>
      </c>
      <c r="X168" s="44">
        <f>IF(AG168="0",J168,0)</f>
        <v>0</v>
      </c>
      <c r="Y168" s="36" t="s">
        <v>145</v>
      </c>
      <c r="Z168" s="22">
        <f>IF(AD168=0,J168,0)</f>
        <v>0</v>
      </c>
      <c r="AA168" s="22">
        <f>IF(AD168=15,J168,0)</f>
        <v>0</v>
      </c>
      <c r="AB168" s="22">
        <f>IF(AD168=21,J168,0)</f>
        <v>0</v>
      </c>
      <c r="AD168" s="44">
        <v>21</v>
      </c>
      <c r="AE168" s="44">
        <f>G168*0.025385752688172</f>
        <v>0</v>
      </c>
      <c r="AF168" s="44">
        <f>G168*(1-0.025385752688172)</f>
        <v>0</v>
      </c>
      <c r="AG168" s="41" t="s">
        <v>7</v>
      </c>
      <c r="AM168" s="44">
        <f>F168*AE168</f>
        <v>0</v>
      </c>
      <c r="AN168" s="44">
        <f>F168*AF168</f>
        <v>0</v>
      </c>
      <c r="AO168" s="45" t="s">
        <v>682</v>
      </c>
      <c r="AP168" s="45" t="s">
        <v>710</v>
      </c>
      <c r="AQ168" s="36" t="s">
        <v>718</v>
      </c>
      <c r="AS168" s="44">
        <f>AM168+AN168</f>
        <v>0</v>
      </c>
      <c r="AT168" s="44">
        <f>G168/(100-AU168)*100</f>
        <v>0</v>
      </c>
      <c r="AU168" s="44">
        <v>0</v>
      </c>
      <c r="AV168" s="44">
        <f>L168</f>
        <v>0.008888</v>
      </c>
    </row>
    <row r="169" spans="4:7" ht="12.75">
      <c r="D169" s="17" t="s">
        <v>426</v>
      </c>
      <c r="F169" s="74">
        <v>222.2</v>
      </c>
      <c r="G169" s="24"/>
    </row>
    <row r="170" spans="4:7" ht="12.75">
      <c r="D170" s="17" t="s">
        <v>427</v>
      </c>
      <c r="F170" s="74">
        <v>0</v>
      </c>
      <c r="G170" s="24"/>
    </row>
    <row r="171" spans="4:7" ht="12.75">
      <c r="D171" s="17" t="s">
        <v>428</v>
      </c>
      <c r="F171" s="74">
        <v>0</v>
      </c>
      <c r="G171" s="24"/>
    </row>
    <row r="172" spans="1:48" ht="13.5">
      <c r="A172" s="7" t="s">
        <v>60</v>
      </c>
      <c r="B172" s="7" t="s">
        <v>145</v>
      </c>
      <c r="C172" s="7" t="s">
        <v>199</v>
      </c>
      <c r="D172" s="7" t="s">
        <v>429</v>
      </c>
      <c r="E172" s="7" t="s">
        <v>627</v>
      </c>
      <c r="F172" s="75">
        <v>266.64</v>
      </c>
      <c r="G172" s="30">
        <v>0</v>
      </c>
      <c r="H172" s="23">
        <f>F172*AE172</f>
        <v>0</v>
      </c>
      <c r="I172" s="23">
        <f>J172-H172</f>
        <v>0</v>
      </c>
      <c r="J172" s="23">
        <f>F172*G172</f>
        <v>0</v>
      </c>
      <c r="K172" s="23">
        <v>0.0003</v>
      </c>
      <c r="L172" s="23">
        <f>F172*K172</f>
        <v>0.079992</v>
      </c>
      <c r="M172" s="42" t="s">
        <v>660</v>
      </c>
      <c r="P172" s="44">
        <f>IF(AG172="5",J172,0)</f>
        <v>0</v>
      </c>
      <c r="R172" s="44">
        <f>IF(AG172="1",H172,0)</f>
        <v>0</v>
      </c>
      <c r="S172" s="44">
        <f>IF(AG172="1",I172,0)</f>
        <v>0</v>
      </c>
      <c r="T172" s="44">
        <f>IF(AG172="7",H172,0)</f>
        <v>0</v>
      </c>
      <c r="U172" s="44">
        <f>IF(AG172="7",I172,0)</f>
        <v>0</v>
      </c>
      <c r="V172" s="44">
        <f>IF(AG172="2",H172,0)</f>
        <v>0</v>
      </c>
      <c r="W172" s="44">
        <f>IF(AG172="2",I172,0)</f>
        <v>0</v>
      </c>
      <c r="X172" s="44">
        <f>IF(AG172="0",J172,0)</f>
        <v>0</v>
      </c>
      <c r="Y172" s="36" t="s">
        <v>145</v>
      </c>
      <c r="Z172" s="23">
        <f>IF(AD172=0,J172,0)</f>
        <v>0</v>
      </c>
      <c r="AA172" s="23">
        <f>IF(AD172=15,J172,0)</f>
        <v>0</v>
      </c>
      <c r="AB172" s="23">
        <f>IF(AD172=21,J172,0)</f>
        <v>0</v>
      </c>
      <c r="AD172" s="44">
        <v>21</v>
      </c>
      <c r="AE172" s="44">
        <f>G172*1</f>
        <v>0</v>
      </c>
      <c r="AF172" s="44">
        <f>G172*(1-1)</f>
        <v>0</v>
      </c>
      <c r="AG172" s="42" t="s">
        <v>7</v>
      </c>
      <c r="AM172" s="44">
        <f>F172*AE172</f>
        <v>0</v>
      </c>
      <c r="AN172" s="44">
        <f>F172*AF172</f>
        <v>0</v>
      </c>
      <c r="AO172" s="45" t="s">
        <v>682</v>
      </c>
      <c r="AP172" s="45" t="s">
        <v>710</v>
      </c>
      <c r="AQ172" s="36" t="s">
        <v>718</v>
      </c>
      <c r="AS172" s="44">
        <f>AM172+AN172</f>
        <v>0</v>
      </c>
      <c r="AT172" s="44">
        <f>G172/(100-AU172)*100</f>
        <v>0</v>
      </c>
      <c r="AU172" s="44">
        <v>0</v>
      </c>
      <c r="AV172" s="44">
        <f>L172</f>
        <v>0.079992</v>
      </c>
    </row>
    <row r="173" spans="4:7" ht="12.75">
      <c r="D173" s="17" t="s">
        <v>430</v>
      </c>
      <c r="F173" s="74">
        <v>266.64</v>
      </c>
      <c r="G173" s="24"/>
    </row>
    <row r="174" spans="1:48" ht="13.5">
      <c r="A174" s="6" t="s">
        <v>61</v>
      </c>
      <c r="B174" s="6" t="s">
        <v>145</v>
      </c>
      <c r="C174" s="6" t="s">
        <v>200</v>
      </c>
      <c r="D174" s="6" t="s">
        <v>431</v>
      </c>
      <c r="E174" s="6" t="s">
        <v>629</v>
      </c>
      <c r="F174" s="73">
        <v>1.4</v>
      </c>
      <c r="G174" s="29">
        <v>0</v>
      </c>
      <c r="H174" s="22">
        <f>F174*AE174</f>
        <v>0</v>
      </c>
      <c r="I174" s="22">
        <f>J174-H174</f>
        <v>0</v>
      </c>
      <c r="J174" s="22">
        <f>F174*G174</f>
        <v>0</v>
      </c>
      <c r="K174" s="22">
        <v>2.525</v>
      </c>
      <c r="L174" s="22">
        <f>F174*K174</f>
        <v>3.5349999999999997</v>
      </c>
      <c r="M174" s="41" t="s">
        <v>660</v>
      </c>
      <c r="P174" s="44">
        <f>IF(AG174="5",J174,0)</f>
        <v>0</v>
      </c>
      <c r="R174" s="44">
        <f>IF(AG174="1",H174,0)</f>
        <v>0</v>
      </c>
      <c r="S174" s="44">
        <f>IF(AG174="1",I174,0)</f>
        <v>0</v>
      </c>
      <c r="T174" s="44">
        <f>IF(AG174="7",H174,0)</f>
        <v>0</v>
      </c>
      <c r="U174" s="44">
        <f>IF(AG174="7",I174,0)</f>
        <v>0</v>
      </c>
      <c r="V174" s="44">
        <f>IF(AG174="2",H174,0)</f>
        <v>0</v>
      </c>
      <c r="W174" s="44">
        <f>IF(AG174="2",I174,0)</f>
        <v>0</v>
      </c>
      <c r="X174" s="44">
        <f>IF(AG174="0",J174,0)</f>
        <v>0</v>
      </c>
      <c r="Y174" s="36" t="s">
        <v>145</v>
      </c>
      <c r="Z174" s="22">
        <f>IF(AD174=0,J174,0)</f>
        <v>0</v>
      </c>
      <c r="AA174" s="22">
        <f>IF(AD174=15,J174,0)</f>
        <v>0</v>
      </c>
      <c r="AB174" s="22">
        <f>IF(AD174=21,J174,0)</f>
        <v>0</v>
      </c>
      <c r="AD174" s="44">
        <v>21</v>
      </c>
      <c r="AE174" s="44">
        <f>G174*0.753209109730849</f>
        <v>0</v>
      </c>
      <c r="AF174" s="44">
        <f>G174*(1-0.753209109730849)</f>
        <v>0</v>
      </c>
      <c r="AG174" s="41" t="s">
        <v>7</v>
      </c>
      <c r="AM174" s="44">
        <f>F174*AE174</f>
        <v>0</v>
      </c>
      <c r="AN174" s="44">
        <f>F174*AF174</f>
        <v>0</v>
      </c>
      <c r="AO174" s="45" t="s">
        <v>682</v>
      </c>
      <c r="AP174" s="45" t="s">
        <v>710</v>
      </c>
      <c r="AQ174" s="36" t="s">
        <v>718</v>
      </c>
      <c r="AS174" s="44">
        <f>AM174+AN174</f>
        <v>0</v>
      </c>
      <c r="AT174" s="44">
        <f>G174/(100-AU174)*100</f>
        <v>0</v>
      </c>
      <c r="AU174" s="44">
        <v>0</v>
      </c>
      <c r="AV174" s="44">
        <f>L174</f>
        <v>3.5349999999999997</v>
      </c>
    </row>
    <row r="175" spans="4:7" ht="12.75">
      <c r="D175" s="17" t="s">
        <v>432</v>
      </c>
      <c r="F175" s="74">
        <v>1.4</v>
      </c>
      <c r="G175" s="24"/>
    </row>
    <row r="176" spans="1:37" ht="13.5">
      <c r="A176" s="5"/>
      <c r="B176" s="14" t="s">
        <v>145</v>
      </c>
      <c r="C176" s="14" t="s">
        <v>33</v>
      </c>
      <c r="D176" s="14" t="s">
        <v>433</v>
      </c>
      <c r="E176" s="5" t="s">
        <v>6</v>
      </c>
      <c r="F176" s="5" t="s">
        <v>6</v>
      </c>
      <c r="G176" s="28" t="s">
        <v>6</v>
      </c>
      <c r="H176" s="47">
        <f>SUM(H177:H177)</f>
        <v>0</v>
      </c>
      <c r="I176" s="47">
        <f>SUM(I177:I177)</f>
        <v>0</v>
      </c>
      <c r="J176" s="47">
        <f>H176+I176</f>
        <v>0</v>
      </c>
      <c r="K176" s="36"/>
      <c r="L176" s="47">
        <f>SUM(L177:L177)</f>
        <v>7.679556000000001</v>
      </c>
      <c r="M176" s="36"/>
      <c r="Y176" s="36" t="s">
        <v>145</v>
      </c>
      <c r="AI176" s="47">
        <f>SUM(Z177:Z177)</f>
        <v>0</v>
      </c>
      <c r="AJ176" s="47">
        <f>SUM(AA177:AA177)</f>
        <v>0</v>
      </c>
      <c r="AK176" s="47">
        <f>SUM(AB177:AB177)</f>
        <v>0</v>
      </c>
    </row>
    <row r="177" spans="1:48" ht="13.5">
      <c r="A177" s="6" t="s">
        <v>62</v>
      </c>
      <c r="B177" s="6" t="s">
        <v>145</v>
      </c>
      <c r="C177" s="6" t="s">
        <v>201</v>
      </c>
      <c r="D177" s="6" t="s">
        <v>434</v>
      </c>
      <c r="E177" s="6" t="s">
        <v>629</v>
      </c>
      <c r="F177" s="73">
        <v>2.7</v>
      </c>
      <c r="G177" s="29">
        <v>0</v>
      </c>
      <c r="H177" s="22">
        <f>F177*AE177</f>
        <v>0</v>
      </c>
      <c r="I177" s="22">
        <f>J177-H177</f>
        <v>0</v>
      </c>
      <c r="J177" s="22">
        <f>F177*G177</f>
        <v>0</v>
      </c>
      <c r="K177" s="22">
        <v>2.84428</v>
      </c>
      <c r="L177" s="22">
        <f>F177*K177</f>
        <v>7.679556000000001</v>
      </c>
      <c r="M177" s="41" t="s">
        <v>661</v>
      </c>
      <c r="P177" s="44">
        <f>IF(AG177="5",J177,0)</f>
        <v>0</v>
      </c>
      <c r="R177" s="44">
        <f>IF(AG177="1",H177,0)</f>
        <v>0</v>
      </c>
      <c r="S177" s="44">
        <f>IF(AG177="1",I177,0)</f>
        <v>0</v>
      </c>
      <c r="T177" s="44">
        <f>IF(AG177="7",H177,0)</f>
        <v>0</v>
      </c>
      <c r="U177" s="44">
        <f>IF(AG177="7",I177,0)</f>
        <v>0</v>
      </c>
      <c r="V177" s="44">
        <f>IF(AG177="2",H177,0)</f>
        <v>0</v>
      </c>
      <c r="W177" s="44">
        <f>IF(AG177="2",I177,0)</f>
        <v>0</v>
      </c>
      <c r="X177" s="44">
        <f>IF(AG177="0",J177,0)</f>
        <v>0</v>
      </c>
      <c r="Y177" s="36" t="s">
        <v>145</v>
      </c>
      <c r="Z177" s="22">
        <f>IF(AD177=0,J177,0)</f>
        <v>0</v>
      </c>
      <c r="AA177" s="22">
        <f>IF(AD177=15,J177,0)</f>
        <v>0</v>
      </c>
      <c r="AB177" s="22">
        <f>IF(AD177=21,J177,0)</f>
        <v>0</v>
      </c>
      <c r="AD177" s="44">
        <v>21</v>
      </c>
      <c r="AE177" s="44">
        <f>G177*0.517815074940265</f>
        <v>0</v>
      </c>
      <c r="AF177" s="44">
        <f>G177*(1-0.517815074940265)</f>
        <v>0</v>
      </c>
      <c r="AG177" s="41" t="s">
        <v>7</v>
      </c>
      <c r="AM177" s="44">
        <f>F177*AE177</f>
        <v>0</v>
      </c>
      <c r="AN177" s="44">
        <f>F177*AF177</f>
        <v>0</v>
      </c>
      <c r="AO177" s="45" t="s">
        <v>683</v>
      </c>
      <c r="AP177" s="45" t="s">
        <v>710</v>
      </c>
      <c r="AQ177" s="36" t="s">
        <v>718</v>
      </c>
      <c r="AS177" s="44">
        <f>AM177+AN177</f>
        <v>0</v>
      </c>
      <c r="AT177" s="44">
        <f>G177/(100-AU177)*100</f>
        <v>0</v>
      </c>
      <c r="AU177" s="44">
        <v>0</v>
      </c>
      <c r="AV177" s="44">
        <f>L177</f>
        <v>7.679556000000001</v>
      </c>
    </row>
    <row r="178" spans="4:7" ht="12.75">
      <c r="D178" s="18" t="s">
        <v>435</v>
      </c>
      <c r="G178" s="24"/>
    </row>
    <row r="179" spans="4:7" ht="12.75">
      <c r="D179" s="17" t="s">
        <v>436</v>
      </c>
      <c r="F179" s="74">
        <v>2.7</v>
      </c>
      <c r="G179" s="24"/>
    </row>
    <row r="180" spans="1:37" ht="13.5">
      <c r="A180" s="5"/>
      <c r="B180" s="14" t="s">
        <v>145</v>
      </c>
      <c r="C180" s="14" t="s">
        <v>37</v>
      </c>
      <c r="D180" s="14" t="s">
        <v>437</v>
      </c>
      <c r="E180" s="5" t="s">
        <v>6</v>
      </c>
      <c r="F180" s="5" t="s">
        <v>6</v>
      </c>
      <c r="G180" s="28" t="s">
        <v>6</v>
      </c>
      <c r="H180" s="47">
        <f>SUM(H181:H186)</f>
        <v>0</v>
      </c>
      <c r="I180" s="47">
        <f>SUM(I181:I186)</f>
        <v>0</v>
      </c>
      <c r="J180" s="47">
        <f>H180+I180</f>
        <v>0</v>
      </c>
      <c r="K180" s="36"/>
      <c r="L180" s="47">
        <f>SUM(L181:L186)</f>
        <v>14.849523999999999</v>
      </c>
      <c r="M180" s="36"/>
      <c r="Y180" s="36" t="s">
        <v>145</v>
      </c>
      <c r="AI180" s="47">
        <f>SUM(Z181:Z186)</f>
        <v>0</v>
      </c>
      <c r="AJ180" s="47">
        <f>SUM(AA181:AA186)</f>
        <v>0</v>
      </c>
      <c r="AK180" s="47">
        <f>SUM(AB181:AB186)</f>
        <v>0</v>
      </c>
    </row>
    <row r="181" spans="1:48" ht="13.5">
      <c r="A181" s="6" t="s">
        <v>63</v>
      </c>
      <c r="B181" s="6" t="s">
        <v>145</v>
      </c>
      <c r="C181" s="6" t="s">
        <v>202</v>
      </c>
      <c r="D181" s="6" t="s">
        <v>438</v>
      </c>
      <c r="E181" s="6" t="s">
        <v>629</v>
      </c>
      <c r="F181" s="73">
        <v>5.8</v>
      </c>
      <c r="G181" s="29">
        <v>0</v>
      </c>
      <c r="H181" s="22">
        <f>F181*AE181</f>
        <v>0</v>
      </c>
      <c r="I181" s="22">
        <f>J181-H181</f>
        <v>0</v>
      </c>
      <c r="J181" s="22">
        <f>F181*G181</f>
        <v>0</v>
      </c>
      <c r="K181" s="22">
        <v>2.54278</v>
      </c>
      <c r="L181" s="22">
        <f>F181*K181</f>
        <v>14.748123999999999</v>
      </c>
      <c r="M181" s="41" t="s">
        <v>660</v>
      </c>
      <c r="P181" s="44">
        <f>IF(AG181="5",J181,0)</f>
        <v>0</v>
      </c>
      <c r="R181" s="44">
        <f>IF(AG181="1",H181,0)</f>
        <v>0</v>
      </c>
      <c r="S181" s="44">
        <f>IF(AG181="1",I181,0)</f>
        <v>0</v>
      </c>
      <c r="T181" s="44">
        <f>IF(AG181="7",H181,0)</f>
        <v>0</v>
      </c>
      <c r="U181" s="44">
        <f>IF(AG181="7",I181,0)</f>
        <v>0</v>
      </c>
      <c r="V181" s="44">
        <f>IF(AG181="2",H181,0)</f>
        <v>0</v>
      </c>
      <c r="W181" s="44">
        <f>IF(AG181="2",I181,0)</f>
        <v>0</v>
      </c>
      <c r="X181" s="44">
        <f>IF(AG181="0",J181,0)</f>
        <v>0</v>
      </c>
      <c r="Y181" s="36" t="s">
        <v>145</v>
      </c>
      <c r="Z181" s="22">
        <f>IF(AD181=0,J181,0)</f>
        <v>0</v>
      </c>
      <c r="AA181" s="22">
        <f>IF(AD181=15,J181,0)</f>
        <v>0</v>
      </c>
      <c r="AB181" s="22">
        <f>IF(AD181=21,J181,0)</f>
        <v>0</v>
      </c>
      <c r="AD181" s="44">
        <v>21</v>
      </c>
      <c r="AE181" s="44">
        <f>G181*0.731211764705882</f>
        <v>0</v>
      </c>
      <c r="AF181" s="44">
        <f>G181*(1-0.731211764705882)</f>
        <v>0</v>
      </c>
      <c r="AG181" s="41" t="s">
        <v>7</v>
      </c>
      <c r="AM181" s="44">
        <f>F181*AE181</f>
        <v>0</v>
      </c>
      <c r="AN181" s="44">
        <f>F181*AF181</f>
        <v>0</v>
      </c>
      <c r="AO181" s="45" t="s">
        <v>684</v>
      </c>
      <c r="AP181" s="45" t="s">
        <v>711</v>
      </c>
      <c r="AQ181" s="36" t="s">
        <v>718</v>
      </c>
      <c r="AS181" s="44">
        <f>AM181+AN181</f>
        <v>0</v>
      </c>
      <c r="AT181" s="44">
        <f>G181/(100-AU181)*100</f>
        <v>0</v>
      </c>
      <c r="AU181" s="44">
        <v>0</v>
      </c>
      <c r="AV181" s="44">
        <f>L181</f>
        <v>14.748123999999999</v>
      </c>
    </row>
    <row r="182" spans="4:7" ht="12.75">
      <c r="D182" s="17" t="s">
        <v>439</v>
      </c>
      <c r="F182" s="74">
        <v>5.8</v>
      </c>
      <c r="G182" s="24"/>
    </row>
    <row r="183" spans="1:48" ht="13.5">
      <c r="A183" s="6" t="s">
        <v>64</v>
      </c>
      <c r="B183" s="6" t="s">
        <v>145</v>
      </c>
      <c r="C183" s="6" t="s">
        <v>203</v>
      </c>
      <c r="D183" s="6" t="s">
        <v>440</v>
      </c>
      <c r="E183" s="6" t="s">
        <v>627</v>
      </c>
      <c r="F183" s="73">
        <v>10</v>
      </c>
      <c r="G183" s="29">
        <v>0</v>
      </c>
      <c r="H183" s="22">
        <f>F183*AE183</f>
        <v>0</v>
      </c>
      <c r="I183" s="22">
        <f>J183-H183</f>
        <v>0</v>
      </c>
      <c r="J183" s="22">
        <f>F183*G183</f>
        <v>0</v>
      </c>
      <c r="K183" s="22">
        <v>0.01014</v>
      </c>
      <c r="L183" s="22">
        <f>F183*K183</f>
        <v>0.10139999999999999</v>
      </c>
      <c r="M183" s="41" t="s">
        <v>660</v>
      </c>
      <c r="P183" s="44">
        <f>IF(AG183="5",J183,0)</f>
        <v>0</v>
      </c>
      <c r="R183" s="44">
        <f>IF(AG183="1",H183,0)</f>
        <v>0</v>
      </c>
      <c r="S183" s="44">
        <f>IF(AG183="1",I183,0)</f>
        <v>0</v>
      </c>
      <c r="T183" s="44">
        <f>IF(AG183="7",H183,0)</f>
        <v>0</v>
      </c>
      <c r="U183" s="44">
        <f>IF(AG183="7",I183,0)</f>
        <v>0</v>
      </c>
      <c r="V183" s="44">
        <f>IF(AG183="2",H183,0)</f>
        <v>0</v>
      </c>
      <c r="W183" s="44">
        <f>IF(AG183="2",I183,0)</f>
        <v>0</v>
      </c>
      <c r="X183" s="44">
        <f>IF(AG183="0",J183,0)</f>
        <v>0</v>
      </c>
      <c r="Y183" s="36" t="s">
        <v>145</v>
      </c>
      <c r="Z183" s="22">
        <f>IF(AD183=0,J183,0)</f>
        <v>0</v>
      </c>
      <c r="AA183" s="22">
        <f>IF(AD183=15,J183,0)</f>
        <v>0</v>
      </c>
      <c r="AB183" s="22">
        <f>IF(AD183=21,J183,0)</f>
        <v>0</v>
      </c>
      <c r="AD183" s="44">
        <v>21</v>
      </c>
      <c r="AE183" s="44">
        <f>G183*0.178681318681319</f>
        <v>0</v>
      </c>
      <c r="AF183" s="44">
        <f>G183*(1-0.178681318681319)</f>
        <v>0</v>
      </c>
      <c r="AG183" s="41" t="s">
        <v>7</v>
      </c>
      <c r="AM183" s="44">
        <f>F183*AE183</f>
        <v>0</v>
      </c>
      <c r="AN183" s="44">
        <f>F183*AF183</f>
        <v>0</v>
      </c>
      <c r="AO183" s="45" t="s">
        <v>684</v>
      </c>
      <c r="AP183" s="45" t="s">
        <v>711</v>
      </c>
      <c r="AQ183" s="36" t="s">
        <v>718</v>
      </c>
      <c r="AS183" s="44">
        <f>AM183+AN183</f>
        <v>0</v>
      </c>
      <c r="AT183" s="44">
        <f>G183/(100-AU183)*100</f>
        <v>0</v>
      </c>
      <c r="AU183" s="44">
        <v>0</v>
      </c>
      <c r="AV183" s="44">
        <f>L183</f>
        <v>0.10139999999999999</v>
      </c>
    </row>
    <row r="184" spans="4:7" ht="25.5">
      <c r="D184" s="18" t="s">
        <v>441</v>
      </c>
      <c r="G184" s="24"/>
    </row>
    <row r="185" spans="4:7" ht="12.75">
      <c r="D185" s="17" t="s">
        <v>442</v>
      </c>
      <c r="F185" s="74">
        <v>10</v>
      </c>
      <c r="G185" s="24"/>
    </row>
    <row r="186" spans="1:48" ht="13.5">
      <c r="A186" s="6" t="s">
        <v>65</v>
      </c>
      <c r="B186" s="6" t="s">
        <v>145</v>
      </c>
      <c r="C186" s="6" t="s">
        <v>204</v>
      </c>
      <c r="D186" s="6" t="s">
        <v>443</v>
      </c>
      <c r="E186" s="6" t="s">
        <v>627</v>
      </c>
      <c r="F186" s="73">
        <v>10</v>
      </c>
      <c r="G186" s="29">
        <v>0</v>
      </c>
      <c r="H186" s="22">
        <f>F186*AE186</f>
        <v>0</v>
      </c>
      <c r="I186" s="22">
        <f>J186-H186</f>
        <v>0</v>
      </c>
      <c r="J186" s="22">
        <f>F186*G186</f>
        <v>0</v>
      </c>
      <c r="K186" s="22">
        <v>0</v>
      </c>
      <c r="L186" s="22">
        <f>F186*K186</f>
        <v>0</v>
      </c>
      <c r="M186" s="41" t="s">
        <v>660</v>
      </c>
      <c r="P186" s="44">
        <f>IF(AG186="5",J186,0)</f>
        <v>0</v>
      </c>
      <c r="R186" s="44">
        <f>IF(AG186="1",H186,0)</f>
        <v>0</v>
      </c>
      <c r="S186" s="44">
        <f>IF(AG186="1",I186,0)</f>
        <v>0</v>
      </c>
      <c r="T186" s="44">
        <f>IF(AG186="7",H186,0)</f>
        <v>0</v>
      </c>
      <c r="U186" s="44">
        <f>IF(AG186="7",I186,0)</f>
        <v>0</v>
      </c>
      <c r="V186" s="44">
        <f>IF(AG186="2",H186,0)</f>
        <v>0</v>
      </c>
      <c r="W186" s="44">
        <f>IF(AG186="2",I186,0)</f>
        <v>0</v>
      </c>
      <c r="X186" s="44">
        <f>IF(AG186="0",J186,0)</f>
        <v>0</v>
      </c>
      <c r="Y186" s="36" t="s">
        <v>145</v>
      </c>
      <c r="Z186" s="22">
        <f>IF(AD186=0,J186,0)</f>
        <v>0</v>
      </c>
      <c r="AA186" s="22">
        <f>IF(AD186=15,J186,0)</f>
        <v>0</v>
      </c>
      <c r="AB186" s="22">
        <f>IF(AD186=21,J186,0)</f>
        <v>0</v>
      </c>
      <c r="AD186" s="44">
        <v>21</v>
      </c>
      <c r="AE186" s="44">
        <f>G186*0</f>
        <v>0</v>
      </c>
      <c r="AF186" s="44">
        <f>G186*(1-0)</f>
        <v>0</v>
      </c>
      <c r="AG186" s="41" t="s">
        <v>7</v>
      </c>
      <c r="AM186" s="44">
        <f>F186*AE186</f>
        <v>0</v>
      </c>
      <c r="AN186" s="44">
        <f>F186*AF186</f>
        <v>0</v>
      </c>
      <c r="AO186" s="45" t="s">
        <v>684</v>
      </c>
      <c r="AP186" s="45" t="s">
        <v>711</v>
      </c>
      <c r="AQ186" s="36" t="s">
        <v>718</v>
      </c>
      <c r="AS186" s="44">
        <f>AM186+AN186</f>
        <v>0</v>
      </c>
      <c r="AT186" s="44">
        <f>G186/(100-AU186)*100</f>
        <v>0</v>
      </c>
      <c r="AU186" s="44">
        <v>0</v>
      </c>
      <c r="AV186" s="44">
        <f>L186</f>
        <v>0</v>
      </c>
    </row>
    <row r="187" spans="4:7" ht="12.75">
      <c r="D187" s="17" t="s">
        <v>442</v>
      </c>
      <c r="F187" s="74">
        <v>10</v>
      </c>
      <c r="G187" s="24"/>
    </row>
    <row r="188" spans="1:37" ht="13.5">
      <c r="A188" s="5"/>
      <c r="B188" s="14" t="s">
        <v>145</v>
      </c>
      <c r="C188" s="14" t="s">
        <v>51</v>
      </c>
      <c r="D188" s="14" t="s">
        <v>444</v>
      </c>
      <c r="E188" s="5" t="s">
        <v>6</v>
      </c>
      <c r="F188" s="5" t="s">
        <v>6</v>
      </c>
      <c r="G188" s="28" t="s">
        <v>6</v>
      </c>
      <c r="H188" s="47">
        <f>SUM(H189:H189)</f>
        <v>0</v>
      </c>
      <c r="I188" s="47">
        <f>SUM(I189:I189)</f>
        <v>0</v>
      </c>
      <c r="J188" s="47">
        <f>H188+I188</f>
        <v>0</v>
      </c>
      <c r="K188" s="36"/>
      <c r="L188" s="47">
        <f>SUM(L189:L189)</f>
        <v>8.28828</v>
      </c>
      <c r="M188" s="36"/>
      <c r="Y188" s="36" t="s">
        <v>145</v>
      </c>
      <c r="AI188" s="47">
        <f>SUM(Z189:Z189)</f>
        <v>0</v>
      </c>
      <c r="AJ188" s="47">
        <f>SUM(AA189:AA189)</f>
        <v>0</v>
      </c>
      <c r="AK188" s="47">
        <f>SUM(AB189:AB189)</f>
        <v>0</v>
      </c>
    </row>
    <row r="189" spans="1:48" ht="13.5">
      <c r="A189" s="6" t="s">
        <v>66</v>
      </c>
      <c r="B189" s="6" t="s">
        <v>145</v>
      </c>
      <c r="C189" s="6" t="s">
        <v>205</v>
      </c>
      <c r="D189" s="6" t="s">
        <v>445</v>
      </c>
      <c r="E189" s="6" t="s">
        <v>627</v>
      </c>
      <c r="F189" s="73">
        <v>39</v>
      </c>
      <c r="G189" s="29">
        <v>0</v>
      </c>
      <c r="H189" s="22">
        <f>F189*AE189</f>
        <v>0</v>
      </c>
      <c r="I189" s="22">
        <f>J189-H189</f>
        <v>0</v>
      </c>
      <c r="J189" s="22">
        <f>F189*G189</f>
        <v>0</v>
      </c>
      <c r="K189" s="22">
        <v>0.21252</v>
      </c>
      <c r="L189" s="22">
        <f>F189*K189</f>
        <v>8.28828</v>
      </c>
      <c r="M189" s="41" t="s">
        <v>660</v>
      </c>
      <c r="P189" s="44">
        <f>IF(AG189="5",J189,0)</f>
        <v>0</v>
      </c>
      <c r="R189" s="44">
        <f>IF(AG189="1",H189,0)</f>
        <v>0</v>
      </c>
      <c r="S189" s="44">
        <f>IF(AG189="1",I189,0)</f>
        <v>0</v>
      </c>
      <c r="T189" s="44">
        <f>IF(AG189="7",H189,0)</f>
        <v>0</v>
      </c>
      <c r="U189" s="44">
        <f>IF(AG189="7",I189,0)</f>
        <v>0</v>
      </c>
      <c r="V189" s="44">
        <f>IF(AG189="2",H189,0)</f>
        <v>0</v>
      </c>
      <c r="W189" s="44">
        <f>IF(AG189="2",I189,0)</f>
        <v>0</v>
      </c>
      <c r="X189" s="44">
        <f>IF(AG189="0",J189,0)</f>
        <v>0</v>
      </c>
      <c r="Y189" s="36" t="s">
        <v>145</v>
      </c>
      <c r="Z189" s="22">
        <f>IF(AD189=0,J189,0)</f>
        <v>0</v>
      </c>
      <c r="AA189" s="22">
        <f>IF(AD189=15,J189,0)</f>
        <v>0</v>
      </c>
      <c r="AB189" s="22">
        <f>IF(AD189=21,J189,0)</f>
        <v>0</v>
      </c>
      <c r="AD189" s="44">
        <v>21</v>
      </c>
      <c r="AE189" s="44">
        <f>G189*0.482523364485981</f>
        <v>0</v>
      </c>
      <c r="AF189" s="44">
        <f>G189*(1-0.482523364485981)</f>
        <v>0</v>
      </c>
      <c r="AG189" s="41" t="s">
        <v>7</v>
      </c>
      <c r="AM189" s="44">
        <f>F189*AE189</f>
        <v>0</v>
      </c>
      <c r="AN189" s="44">
        <f>F189*AF189</f>
        <v>0</v>
      </c>
      <c r="AO189" s="45" t="s">
        <v>685</v>
      </c>
      <c r="AP189" s="45" t="s">
        <v>712</v>
      </c>
      <c r="AQ189" s="36" t="s">
        <v>718</v>
      </c>
      <c r="AS189" s="44">
        <f>AM189+AN189</f>
        <v>0</v>
      </c>
      <c r="AT189" s="44">
        <f>G189/(100-AU189)*100</f>
        <v>0</v>
      </c>
      <c r="AU189" s="44">
        <v>0</v>
      </c>
      <c r="AV189" s="44">
        <f>L189</f>
        <v>8.28828</v>
      </c>
    </row>
    <row r="190" spans="4:7" ht="12.75">
      <c r="D190" s="17" t="s">
        <v>45</v>
      </c>
      <c r="F190" s="74">
        <v>39</v>
      </c>
      <c r="G190" s="24"/>
    </row>
    <row r="191" spans="1:37" ht="13.5">
      <c r="A191" s="5"/>
      <c r="B191" s="14" t="s">
        <v>145</v>
      </c>
      <c r="C191" s="14" t="s">
        <v>206</v>
      </c>
      <c r="D191" s="14" t="s">
        <v>446</v>
      </c>
      <c r="E191" s="5" t="s">
        <v>6</v>
      </c>
      <c r="F191" s="5" t="s">
        <v>6</v>
      </c>
      <c r="G191" s="28" t="s">
        <v>6</v>
      </c>
      <c r="H191" s="47">
        <f>SUM(H192:H192)</f>
        <v>0</v>
      </c>
      <c r="I191" s="47">
        <f>SUM(I192:I192)</f>
        <v>0</v>
      </c>
      <c r="J191" s="47">
        <f>H191+I191</f>
        <v>0</v>
      </c>
      <c r="K191" s="36"/>
      <c r="L191" s="47">
        <f>SUM(L192:L192)</f>
        <v>0</v>
      </c>
      <c r="M191" s="36"/>
      <c r="Y191" s="36" t="s">
        <v>145</v>
      </c>
      <c r="AI191" s="47">
        <f>SUM(Z192:Z192)</f>
        <v>0</v>
      </c>
      <c r="AJ191" s="47">
        <f>SUM(AA192:AA192)</f>
        <v>0</v>
      </c>
      <c r="AK191" s="47">
        <f>SUM(AB192:AB192)</f>
        <v>0</v>
      </c>
    </row>
    <row r="192" spans="1:48" ht="13.5">
      <c r="A192" s="6" t="s">
        <v>67</v>
      </c>
      <c r="B192" s="6" t="s">
        <v>145</v>
      </c>
      <c r="C192" s="6" t="s">
        <v>207</v>
      </c>
      <c r="D192" s="6" t="s">
        <v>447</v>
      </c>
      <c r="E192" s="6" t="s">
        <v>632</v>
      </c>
      <c r="F192" s="73">
        <v>39</v>
      </c>
      <c r="G192" s="29">
        <v>0</v>
      </c>
      <c r="H192" s="22">
        <f>F192*AE192</f>
        <v>0</v>
      </c>
      <c r="I192" s="22">
        <f>J192-H192</f>
        <v>0</v>
      </c>
      <c r="J192" s="22">
        <f>F192*G192</f>
        <v>0</v>
      </c>
      <c r="K192" s="22">
        <v>0</v>
      </c>
      <c r="L192" s="22">
        <f>F192*K192</f>
        <v>0</v>
      </c>
      <c r="M192" s="41" t="s">
        <v>660</v>
      </c>
      <c r="P192" s="44">
        <f>IF(AG192="5",J192,0)</f>
        <v>0</v>
      </c>
      <c r="R192" s="44">
        <f>IF(AG192="1",H192,0)</f>
        <v>0</v>
      </c>
      <c r="S192" s="44">
        <f>IF(AG192="1",I192,0)</f>
        <v>0</v>
      </c>
      <c r="T192" s="44">
        <f>IF(AG192="7",H192,0)</f>
        <v>0</v>
      </c>
      <c r="U192" s="44">
        <f>IF(AG192="7",I192,0)</f>
        <v>0</v>
      </c>
      <c r="V192" s="44">
        <f>IF(AG192="2",H192,0)</f>
        <v>0</v>
      </c>
      <c r="W192" s="44">
        <f>IF(AG192="2",I192,0)</f>
        <v>0</v>
      </c>
      <c r="X192" s="44">
        <f>IF(AG192="0",J192,0)</f>
        <v>0</v>
      </c>
      <c r="Y192" s="36" t="s">
        <v>145</v>
      </c>
      <c r="Z192" s="22">
        <f>IF(AD192=0,J192,0)</f>
        <v>0</v>
      </c>
      <c r="AA192" s="22">
        <f>IF(AD192=15,J192,0)</f>
        <v>0</v>
      </c>
      <c r="AB192" s="22">
        <f>IF(AD192=21,J192,0)</f>
        <v>0</v>
      </c>
      <c r="AD192" s="44">
        <v>21</v>
      </c>
      <c r="AE192" s="44">
        <f>G192*0</f>
        <v>0</v>
      </c>
      <c r="AF192" s="44">
        <f>G192*(1-0)</f>
        <v>0</v>
      </c>
      <c r="AG192" s="41" t="s">
        <v>7</v>
      </c>
      <c r="AM192" s="44">
        <f>F192*AE192</f>
        <v>0</v>
      </c>
      <c r="AN192" s="44">
        <f>F192*AF192</f>
        <v>0</v>
      </c>
      <c r="AO192" s="45" t="s">
        <v>686</v>
      </c>
      <c r="AP192" s="45" t="s">
        <v>712</v>
      </c>
      <c r="AQ192" s="36" t="s">
        <v>718</v>
      </c>
      <c r="AS192" s="44">
        <f>AM192+AN192</f>
        <v>0</v>
      </c>
      <c r="AT192" s="44">
        <f>G192/(100-AU192)*100</f>
        <v>0</v>
      </c>
      <c r="AU192" s="44">
        <v>0</v>
      </c>
      <c r="AV192" s="44">
        <f>L192</f>
        <v>0</v>
      </c>
    </row>
    <row r="193" spans="4:7" ht="129">
      <c r="D193" s="18" t="s">
        <v>448</v>
      </c>
      <c r="G193" s="24"/>
    </row>
    <row r="194" spans="4:7" ht="12.75">
      <c r="D194" s="17" t="s">
        <v>45</v>
      </c>
      <c r="F194" s="74">
        <v>39</v>
      </c>
      <c r="G194" s="24"/>
    </row>
    <row r="195" spans="1:37" ht="13.5">
      <c r="A195" s="5"/>
      <c r="B195" s="14" t="s">
        <v>145</v>
      </c>
      <c r="C195" s="14" t="s">
        <v>62</v>
      </c>
      <c r="D195" s="14" t="s">
        <v>449</v>
      </c>
      <c r="E195" s="5" t="s">
        <v>6</v>
      </c>
      <c r="F195" s="5" t="s">
        <v>6</v>
      </c>
      <c r="G195" s="28" t="s">
        <v>6</v>
      </c>
      <c r="H195" s="47">
        <f>SUM(H196:H206)</f>
        <v>0</v>
      </c>
      <c r="I195" s="47">
        <f>SUM(I196:I206)</f>
        <v>0</v>
      </c>
      <c r="J195" s="47">
        <f>H195+I195</f>
        <v>0</v>
      </c>
      <c r="K195" s="36"/>
      <c r="L195" s="47">
        <f>SUM(L196:L206)</f>
        <v>641.5805674999999</v>
      </c>
      <c r="M195" s="36"/>
      <c r="Y195" s="36" t="s">
        <v>145</v>
      </c>
      <c r="AI195" s="47">
        <f>SUM(Z196:Z206)</f>
        <v>0</v>
      </c>
      <c r="AJ195" s="47">
        <f>SUM(AA196:AA206)</f>
        <v>0</v>
      </c>
      <c r="AK195" s="47">
        <f>SUM(AB196:AB206)</f>
        <v>0</v>
      </c>
    </row>
    <row r="196" spans="1:48" ht="13.5">
      <c r="A196" s="6" t="s">
        <v>68</v>
      </c>
      <c r="B196" s="6" t="s">
        <v>145</v>
      </c>
      <c r="C196" s="6" t="s">
        <v>208</v>
      </c>
      <c r="D196" s="6" t="s">
        <v>450</v>
      </c>
      <c r="E196" s="6" t="s">
        <v>627</v>
      </c>
      <c r="F196" s="73">
        <v>33.33</v>
      </c>
      <c r="G196" s="29">
        <v>0</v>
      </c>
      <c r="H196" s="22">
        <f>F196*AE196</f>
        <v>0</v>
      </c>
      <c r="I196" s="22">
        <f>J196-H196</f>
        <v>0</v>
      </c>
      <c r="J196" s="22">
        <f>F196*G196</f>
        <v>0</v>
      </c>
      <c r="K196" s="22">
        <v>0.33075</v>
      </c>
      <c r="L196" s="22">
        <f>F196*K196</f>
        <v>11.023897499999999</v>
      </c>
      <c r="M196" s="41" t="s">
        <v>660</v>
      </c>
      <c r="P196" s="44">
        <f>IF(AG196="5",J196,0)</f>
        <v>0</v>
      </c>
      <c r="R196" s="44">
        <f>IF(AG196="1",H196,0)</f>
        <v>0</v>
      </c>
      <c r="S196" s="44">
        <f>IF(AG196="1",I196,0)</f>
        <v>0</v>
      </c>
      <c r="T196" s="44">
        <f>IF(AG196="7",H196,0)</f>
        <v>0</v>
      </c>
      <c r="U196" s="44">
        <f>IF(AG196="7",I196,0)</f>
        <v>0</v>
      </c>
      <c r="V196" s="44">
        <f>IF(AG196="2",H196,0)</f>
        <v>0</v>
      </c>
      <c r="W196" s="44">
        <f>IF(AG196="2",I196,0)</f>
        <v>0</v>
      </c>
      <c r="X196" s="44">
        <f>IF(AG196="0",J196,0)</f>
        <v>0</v>
      </c>
      <c r="Y196" s="36" t="s">
        <v>145</v>
      </c>
      <c r="Z196" s="22">
        <f>IF(AD196=0,J196,0)</f>
        <v>0</v>
      </c>
      <c r="AA196" s="22">
        <f>IF(AD196=15,J196,0)</f>
        <v>0</v>
      </c>
      <c r="AB196" s="22">
        <f>IF(AD196=21,J196,0)</f>
        <v>0</v>
      </c>
      <c r="AD196" s="44">
        <v>21</v>
      </c>
      <c r="AE196" s="44">
        <f>G196*0.865926470588235</f>
        <v>0</v>
      </c>
      <c r="AF196" s="44">
        <f>G196*(1-0.865926470588235)</f>
        <v>0</v>
      </c>
      <c r="AG196" s="41" t="s">
        <v>7</v>
      </c>
      <c r="AM196" s="44">
        <f>F196*AE196</f>
        <v>0</v>
      </c>
      <c r="AN196" s="44">
        <f>F196*AF196</f>
        <v>0</v>
      </c>
      <c r="AO196" s="45" t="s">
        <v>687</v>
      </c>
      <c r="AP196" s="45" t="s">
        <v>713</v>
      </c>
      <c r="AQ196" s="36" t="s">
        <v>718</v>
      </c>
      <c r="AS196" s="44">
        <f>AM196+AN196</f>
        <v>0</v>
      </c>
      <c r="AT196" s="44">
        <f>G196/(100-AU196)*100</f>
        <v>0</v>
      </c>
      <c r="AU196" s="44">
        <v>0</v>
      </c>
      <c r="AV196" s="44">
        <f>L196</f>
        <v>11.023897499999999</v>
      </c>
    </row>
    <row r="197" spans="4:7" ht="12.75">
      <c r="D197" s="17" t="s">
        <v>451</v>
      </c>
      <c r="F197" s="74">
        <v>33.33</v>
      </c>
      <c r="G197" s="24"/>
    </row>
    <row r="198" spans="1:48" ht="13.5">
      <c r="A198" s="6" t="s">
        <v>69</v>
      </c>
      <c r="B198" s="6" t="s">
        <v>145</v>
      </c>
      <c r="C198" s="6" t="s">
        <v>208</v>
      </c>
      <c r="D198" s="6" t="s">
        <v>450</v>
      </c>
      <c r="E198" s="6" t="s">
        <v>627</v>
      </c>
      <c r="F198" s="73">
        <v>933</v>
      </c>
      <c r="G198" s="29">
        <v>0</v>
      </c>
      <c r="H198" s="22">
        <f>F198*AE198</f>
        <v>0</v>
      </c>
      <c r="I198" s="22">
        <f>J198-H198</f>
        <v>0</v>
      </c>
      <c r="J198" s="22">
        <f>F198*G198</f>
        <v>0</v>
      </c>
      <c r="K198" s="22">
        <v>0.378</v>
      </c>
      <c r="L198" s="22">
        <f>F198*K198</f>
        <v>352.674</v>
      </c>
      <c r="M198" s="41" t="s">
        <v>660</v>
      </c>
      <c r="P198" s="44">
        <f>IF(AG198="5",J198,0)</f>
        <v>0</v>
      </c>
      <c r="R198" s="44">
        <f>IF(AG198="1",H198,0)</f>
        <v>0</v>
      </c>
      <c r="S198" s="44">
        <f>IF(AG198="1",I198,0)</f>
        <v>0</v>
      </c>
      <c r="T198" s="44">
        <f>IF(AG198="7",H198,0)</f>
        <v>0</v>
      </c>
      <c r="U198" s="44">
        <f>IF(AG198="7",I198,0)</f>
        <v>0</v>
      </c>
      <c r="V198" s="44">
        <f>IF(AG198="2",H198,0)</f>
        <v>0</v>
      </c>
      <c r="W198" s="44">
        <f>IF(AG198="2",I198,0)</f>
        <v>0</v>
      </c>
      <c r="X198" s="44">
        <f>IF(AG198="0",J198,0)</f>
        <v>0</v>
      </c>
      <c r="Y198" s="36" t="s">
        <v>145</v>
      </c>
      <c r="Z198" s="22">
        <f>IF(AD198=0,J198,0)</f>
        <v>0</v>
      </c>
      <c r="AA198" s="22">
        <f>IF(AD198=15,J198,0)</f>
        <v>0</v>
      </c>
      <c r="AB198" s="22">
        <f>IF(AD198=21,J198,0)</f>
        <v>0</v>
      </c>
      <c r="AD198" s="44">
        <v>21</v>
      </c>
      <c r="AE198" s="44">
        <f>G198*0.865912878604898</f>
        <v>0</v>
      </c>
      <c r="AF198" s="44">
        <f>G198*(1-0.865912878604898)</f>
        <v>0</v>
      </c>
      <c r="AG198" s="41" t="s">
        <v>7</v>
      </c>
      <c r="AM198" s="44">
        <f>F198*AE198</f>
        <v>0</v>
      </c>
      <c r="AN198" s="44">
        <f>F198*AF198</f>
        <v>0</v>
      </c>
      <c r="AO198" s="45" t="s">
        <v>687</v>
      </c>
      <c r="AP198" s="45" t="s">
        <v>713</v>
      </c>
      <c r="AQ198" s="36" t="s">
        <v>718</v>
      </c>
      <c r="AR198" s="36" t="s">
        <v>721</v>
      </c>
      <c r="AS198" s="44">
        <f>AM198+AN198</f>
        <v>0</v>
      </c>
      <c r="AT198" s="44">
        <f>G198/(100-AU198)*100</f>
        <v>0</v>
      </c>
      <c r="AU198" s="44">
        <v>0</v>
      </c>
      <c r="AV198" s="44">
        <f>L198</f>
        <v>352.674</v>
      </c>
    </row>
    <row r="199" spans="4:7" ht="12.75">
      <c r="D199" s="17" t="s">
        <v>452</v>
      </c>
      <c r="F199" s="74">
        <v>933</v>
      </c>
      <c r="G199" s="24"/>
    </row>
    <row r="200" spans="1:48" ht="13.5">
      <c r="A200" s="6" t="s">
        <v>70</v>
      </c>
      <c r="B200" s="6" t="s">
        <v>145</v>
      </c>
      <c r="C200" s="6" t="s">
        <v>209</v>
      </c>
      <c r="D200" s="6" t="s">
        <v>453</v>
      </c>
      <c r="E200" s="6" t="s">
        <v>627</v>
      </c>
      <c r="F200" s="73">
        <v>39</v>
      </c>
      <c r="G200" s="29">
        <v>0</v>
      </c>
      <c r="H200" s="22">
        <f>F200*AE200</f>
        <v>0</v>
      </c>
      <c r="I200" s="22">
        <f>J200-H200</f>
        <v>0</v>
      </c>
      <c r="J200" s="22">
        <f>F200*G200</f>
        <v>0</v>
      </c>
      <c r="K200" s="22">
        <v>0.55125</v>
      </c>
      <c r="L200" s="22">
        <f>F200*K200</f>
        <v>21.49875</v>
      </c>
      <c r="M200" s="41" t="s">
        <v>660</v>
      </c>
      <c r="P200" s="44">
        <f>IF(AG200="5",J200,0)</f>
        <v>0</v>
      </c>
      <c r="R200" s="44">
        <f>IF(AG200="1",H200,0)</f>
        <v>0</v>
      </c>
      <c r="S200" s="44">
        <f>IF(AG200="1",I200,0)</f>
        <v>0</v>
      </c>
      <c r="T200" s="44">
        <f>IF(AG200="7",H200,0)</f>
        <v>0</v>
      </c>
      <c r="U200" s="44">
        <f>IF(AG200="7",I200,0)</f>
        <v>0</v>
      </c>
      <c r="V200" s="44">
        <f>IF(AG200="2",H200,0)</f>
        <v>0</v>
      </c>
      <c r="W200" s="44">
        <f>IF(AG200="2",I200,0)</f>
        <v>0</v>
      </c>
      <c r="X200" s="44">
        <f>IF(AG200="0",J200,0)</f>
        <v>0</v>
      </c>
      <c r="Y200" s="36" t="s">
        <v>145</v>
      </c>
      <c r="Z200" s="22">
        <f>IF(AD200=0,J200,0)</f>
        <v>0</v>
      </c>
      <c r="AA200" s="22">
        <f>IF(AD200=15,J200,0)</f>
        <v>0</v>
      </c>
      <c r="AB200" s="22">
        <f>IF(AD200=21,J200,0)</f>
        <v>0</v>
      </c>
      <c r="AD200" s="44">
        <v>21</v>
      </c>
      <c r="AE200" s="44">
        <f>G200*0.883897637795276</f>
        <v>0</v>
      </c>
      <c r="AF200" s="44">
        <f>G200*(1-0.883897637795276)</f>
        <v>0</v>
      </c>
      <c r="AG200" s="41" t="s">
        <v>7</v>
      </c>
      <c r="AM200" s="44">
        <f>F200*AE200</f>
        <v>0</v>
      </c>
      <c r="AN200" s="44">
        <f>F200*AF200</f>
        <v>0</v>
      </c>
      <c r="AO200" s="45" t="s">
        <v>687</v>
      </c>
      <c r="AP200" s="45" t="s">
        <v>713</v>
      </c>
      <c r="AQ200" s="36" t="s">
        <v>718</v>
      </c>
      <c r="AS200" s="44">
        <f>AM200+AN200</f>
        <v>0</v>
      </c>
      <c r="AT200" s="44">
        <f>G200/(100-AU200)*100</f>
        <v>0</v>
      </c>
      <c r="AU200" s="44">
        <v>0</v>
      </c>
      <c r="AV200" s="44">
        <f>L200</f>
        <v>21.49875</v>
      </c>
    </row>
    <row r="201" spans="4:7" ht="12.75">
      <c r="D201" s="17" t="s">
        <v>45</v>
      </c>
      <c r="F201" s="74">
        <v>39</v>
      </c>
      <c r="G201" s="24"/>
    </row>
    <row r="202" spans="1:48" ht="13.5">
      <c r="A202" s="6" t="s">
        <v>71</v>
      </c>
      <c r="B202" s="6" t="s">
        <v>145</v>
      </c>
      <c r="C202" s="6" t="s">
        <v>210</v>
      </c>
      <c r="D202" s="6" t="s">
        <v>454</v>
      </c>
      <c r="E202" s="6" t="s">
        <v>627</v>
      </c>
      <c r="F202" s="73">
        <v>427.5</v>
      </c>
      <c r="G202" s="29">
        <v>0</v>
      </c>
      <c r="H202" s="22">
        <f>F202*AE202</f>
        <v>0</v>
      </c>
      <c r="I202" s="22">
        <f>J202-H202</f>
        <v>0</v>
      </c>
      <c r="J202" s="22">
        <f>F202*G202</f>
        <v>0</v>
      </c>
      <c r="K202" s="22">
        <v>0.441</v>
      </c>
      <c r="L202" s="22">
        <f>F202*K202</f>
        <v>188.5275</v>
      </c>
      <c r="M202" s="41" t="s">
        <v>660</v>
      </c>
      <c r="P202" s="44">
        <f>IF(AG202="5",J202,0)</f>
        <v>0</v>
      </c>
      <c r="R202" s="44">
        <f>IF(AG202="1",H202,0)</f>
        <v>0</v>
      </c>
      <c r="S202" s="44">
        <f>IF(AG202="1",I202,0)</f>
        <v>0</v>
      </c>
      <c r="T202" s="44">
        <f>IF(AG202="7",H202,0)</f>
        <v>0</v>
      </c>
      <c r="U202" s="44">
        <f>IF(AG202="7",I202,0)</f>
        <v>0</v>
      </c>
      <c r="V202" s="44">
        <f>IF(AG202="2",H202,0)</f>
        <v>0</v>
      </c>
      <c r="W202" s="44">
        <f>IF(AG202="2",I202,0)</f>
        <v>0</v>
      </c>
      <c r="X202" s="44">
        <f>IF(AG202="0",J202,0)</f>
        <v>0</v>
      </c>
      <c r="Y202" s="36" t="s">
        <v>145</v>
      </c>
      <c r="Z202" s="22">
        <f>IF(AD202=0,J202,0)</f>
        <v>0</v>
      </c>
      <c r="AA202" s="22">
        <f>IF(AD202=15,J202,0)</f>
        <v>0</v>
      </c>
      <c r="AB202" s="22">
        <f>IF(AD202=21,J202,0)</f>
        <v>0</v>
      </c>
      <c r="AD202" s="44">
        <v>21</v>
      </c>
      <c r="AE202" s="44">
        <f>G202*0.866942202331297</f>
        <v>0</v>
      </c>
      <c r="AF202" s="44">
        <f>G202*(1-0.866942202331297)</f>
        <v>0</v>
      </c>
      <c r="AG202" s="41" t="s">
        <v>7</v>
      </c>
      <c r="AM202" s="44">
        <f>F202*AE202</f>
        <v>0</v>
      </c>
      <c r="AN202" s="44">
        <f>F202*AF202</f>
        <v>0</v>
      </c>
      <c r="AO202" s="45" t="s">
        <v>687</v>
      </c>
      <c r="AP202" s="45" t="s">
        <v>713</v>
      </c>
      <c r="AQ202" s="36" t="s">
        <v>718</v>
      </c>
      <c r="AS202" s="44">
        <f>AM202+AN202</f>
        <v>0</v>
      </c>
      <c r="AT202" s="44">
        <f>G202/(100-AU202)*100</f>
        <v>0</v>
      </c>
      <c r="AU202" s="44">
        <v>0</v>
      </c>
      <c r="AV202" s="44">
        <f>L202</f>
        <v>188.5275</v>
      </c>
    </row>
    <row r="203" spans="4:7" ht="12.75">
      <c r="D203" s="17" t="s">
        <v>455</v>
      </c>
      <c r="F203" s="74">
        <v>427.5</v>
      </c>
      <c r="G203" s="24"/>
    </row>
    <row r="204" spans="1:48" ht="13.5">
      <c r="A204" s="6" t="s">
        <v>72</v>
      </c>
      <c r="B204" s="6" t="s">
        <v>145</v>
      </c>
      <c r="C204" s="6" t="s">
        <v>211</v>
      </c>
      <c r="D204" s="6" t="s">
        <v>456</v>
      </c>
      <c r="E204" s="6" t="s">
        <v>627</v>
      </c>
      <c r="F204" s="73">
        <v>146</v>
      </c>
      <c r="G204" s="29">
        <v>0</v>
      </c>
      <c r="H204" s="22">
        <f>F204*AE204</f>
        <v>0</v>
      </c>
      <c r="I204" s="22">
        <f>J204-H204</f>
        <v>0</v>
      </c>
      <c r="J204" s="22">
        <f>F204*G204</f>
        <v>0</v>
      </c>
      <c r="K204" s="22">
        <v>0.30651</v>
      </c>
      <c r="L204" s="22">
        <f>F204*K204</f>
        <v>44.750460000000004</v>
      </c>
      <c r="M204" s="41" t="s">
        <v>660</v>
      </c>
      <c r="P204" s="44">
        <f>IF(AG204="5",J204,0)</f>
        <v>0</v>
      </c>
      <c r="R204" s="44">
        <f>IF(AG204="1",H204,0)</f>
        <v>0</v>
      </c>
      <c r="S204" s="44">
        <f>IF(AG204="1",I204,0)</f>
        <v>0</v>
      </c>
      <c r="T204" s="44">
        <f>IF(AG204="7",H204,0)</f>
        <v>0</v>
      </c>
      <c r="U204" s="44">
        <f>IF(AG204="7",I204,0)</f>
        <v>0</v>
      </c>
      <c r="V204" s="44">
        <f>IF(AG204="2",H204,0)</f>
        <v>0</v>
      </c>
      <c r="W204" s="44">
        <f>IF(AG204="2",I204,0)</f>
        <v>0</v>
      </c>
      <c r="X204" s="44">
        <f>IF(AG204="0",J204,0)</f>
        <v>0</v>
      </c>
      <c r="Y204" s="36" t="s">
        <v>145</v>
      </c>
      <c r="Z204" s="22">
        <f>IF(AD204=0,J204,0)</f>
        <v>0</v>
      </c>
      <c r="AA204" s="22">
        <f>IF(AD204=15,J204,0)</f>
        <v>0</v>
      </c>
      <c r="AB204" s="22">
        <f>IF(AD204=21,J204,0)</f>
        <v>0</v>
      </c>
      <c r="AD204" s="44">
        <v>21</v>
      </c>
      <c r="AE204" s="44">
        <f>G204*0.84979020979021</f>
        <v>0</v>
      </c>
      <c r="AF204" s="44">
        <f>G204*(1-0.84979020979021)</f>
        <v>0</v>
      </c>
      <c r="AG204" s="41" t="s">
        <v>7</v>
      </c>
      <c r="AM204" s="44">
        <f>F204*AE204</f>
        <v>0</v>
      </c>
      <c r="AN204" s="44">
        <f>F204*AF204</f>
        <v>0</v>
      </c>
      <c r="AO204" s="45" t="s">
        <v>687</v>
      </c>
      <c r="AP204" s="45" t="s">
        <v>713</v>
      </c>
      <c r="AQ204" s="36" t="s">
        <v>718</v>
      </c>
      <c r="AS204" s="44">
        <f>AM204+AN204</f>
        <v>0</v>
      </c>
      <c r="AT204" s="44">
        <f>G204/(100-AU204)*100</f>
        <v>0</v>
      </c>
      <c r="AU204" s="44">
        <v>0</v>
      </c>
      <c r="AV204" s="44">
        <f>L204</f>
        <v>44.750460000000004</v>
      </c>
    </row>
    <row r="205" spans="4:7" ht="12.75">
      <c r="D205" s="17" t="s">
        <v>457</v>
      </c>
      <c r="F205" s="74">
        <v>146</v>
      </c>
      <c r="G205" s="24"/>
    </row>
    <row r="206" spans="1:48" ht="13.5">
      <c r="A206" s="6" t="s">
        <v>73</v>
      </c>
      <c r="B206" s="6" t="s">
        <v>145</v>
      </c>
      <c r="C206" s="6" t="s">
        <v>212</v>
      </c>
      <c r="D206" s="6" t="s">
        <v>458</v>
      </c>
      <c r="E206" s="6" t="s">
        <v>627</v>
      </c>
      <c r="F206" s="73">
        <v>146</v>
      </c>
      <c r="G206" s="29">
        <v>0</v>
      </c>
      <c r="H206" s="22">
        <f>F206*AE206</f>
        <v>0</v>
      </c>
      <c r="I206" s="22">
        <f>J206-H206</f>
        <v>0</v>
      </c>
      <c r="J206" s="22">
        <f>F206*G206</f>
        <v>0</v>
      </c>
      <c r="K206" s="22">
        <v>0.15826</v>
      </c>
      <c r="L206" s="22">
        <f>F206*K206</f>
        <v>23.105960000000003</v>
      </c>
      <c r="M206" s="41" t="s">
        <v>660</v>
      </c>
      <c r="P206" s="44">
        <f>IF(AG206="5",J206,0)</f>
        <v>0</v>
      </c>
      <c r="R206" s="44">
        <f>IF(AG206="1",H206,0)</f>
        <v>0</v>
      </c>
      <c r="S206" s="44">
        <f>IF(AG206="1",I206,0)</f>
        <v>0</v>
      </c>
      <c r="T206" s="44">
        <f>IF(AG206="7",H206,0)</f>
        <v>0</v>
      </c>
      <c r="U206" s="44">
        <f>IF(AG206="7",I206,0)</f>
        <v>0</v>
      </c>
      <c r="V206" s="44">
        <f>IF(AG206="2",H206,0)</f>
        <v>0</v>
      </c>
      <c r="W206" s="44">
        <f>IF(AG206="2",I206,0)</f>
        <v>0</v>
      </c>
      <c r="X206" s="44">
        <f>IF(AG206="0",J206,0)</f>
        <v>0</v>
      </c>
      <c r="Y206" s="36" t="s">
        <v>145</v>
      </c>
      <c r="Z206" s="22">
        <f>IF(AD206=0,J206,0)</f>
        <v>0</v>
      </c>
      <c r="AA206" s="22">
        <f>IF(AD206=15,J206,0)</f>
        <v>0</v>
      </c>
      <c r="AB206" s="22">
        <f>IF(AD206=21,J206,0)</f>
        <v>0</v>
      </c>
      <c r="AD206" s="44">
        <v>21</v>
      </c>
      <c r="AE206" s="44">
        <f>G206*0.871490593342981</f>
        <v>0</v>
      </c>
      <c r="AF206" s="44">
        <f>G206*(1-0.871490593342981)</f>
        <v>0</v>
      </c>
      <c r="AG206" s="41" t="s">
        <v>7</v>
      </c>
      <c r="AM206" s="44">
        <f>F206*AE206</f>
        <v>0</v>
      </c>
      <c r="AN206" s="44">
        <f>F206*AF206</f>
        <v>0</v>
      </c>
      <c r="AO206" s="45" t="s">
        <v>687</v>
      </c>
      <c r="AP206" s="45" t="s">
        <v>713</v>
      </c>
      <c r="AQ206" s="36" t="s">
        <v>718</v>
      </c>
      <c r="AS206" s="44">
        <f>AM206+AN206</f>
        <v>0</v>
      </c>
      <c r="AT206" s="44">
        <f>G206/(100-AU206)*100</f>
        <v>0</v>
      </c>
      <c r="AU206" s="44">
        <v>0</v>
      </c>
      <c r="AV206" s="44">
        <f>L206</f>
        <v>23.105960000000003</v>
      </c>
    </row>
    <row r="207" spans="4:7" ht="12.75">
      <c r="D207" s="17" t="s">
        <v>457</v>
      </c>
      <c r="F207" s="74">
        <v>146</v>
      </c>
      <c r="G207" s="24"/>
    </row>
    <row r="208" spans="1:37" ht="13.5">
      <c r="A208" s="5"/>
      <c r="B208" s="14" t="s">
        <v>145</v>
      </c>
      <c r="C208" s="14" t="s">
        <v>63</v>
      </c>
      <c r="D208" s="14" t="s">
        <v>459</v>
      </c>
      <c r="E208" s="5" t="s">
        <v>6</v>
      </c>
      <c r="F208" s="5" t="s">
        <v>6</v>
      </c>
      <c r="G208" s="28" t="s">
        <v>6</v>
      </c>
      <c r="H208" s="47">
        <f>SUM(H209:H214)</f>
        <v>0</v>
      </c>
      <c r="I208" s="47">
        <f>SUM(I209:I214)</f>
        <v>0</v>
      </c>
      <c r="J208" s="47">
        <f>H208+I208</f>
        <v>0</v>
      </c>
      <c r="K208" s="36"/>
      <c r="L208" s="47">
        <f>SUM(L209:L214)</f>
        <v>32.14958</v>
      </c>
      <c r="M208" s="36"/>
      <c r="Y208" s="36" t="s">
        <v>145</v>
      </c>
      <c r="AI208" s="47">
        <f>SUM(Z209:Z214)</f>
        <v>0</v>
      </c>
      <c r="AJ208" s="47">
        <f>SUM(AA209:AA214)</f>
        <v>0</v>
      </c>
      <c r="AK208" s="47">
        <f>SUM(AB209:AB214)</f>
        <v>0</v>
      </c>
    </row>
    <row r="209" spans="1:48" ht="13.5">
      <c r="A209" s="6" t="s">
        <v>74</v>
      </c>
      <c r="B209" s="6" t="s">
        <v>145</v>
      </c>
      <c r="C209" s="6" t="s">
        <v>213</v>
      </c>
      <c r="D209" s="6" t="s">
        <v>460</v>
      </c>
      <c r="E209" s="6" t="s">
        <v>627</v>
      </c>
      <c r="F209" s="73">
        <v>146</v>
      </c>
      <c r="G209" s="29">
        <v>0</v>
      </c>
      <c r="H209" s="22">
        <f>F209*AE209</f>
        <v>0</v>
      </c>
      <c r="I209" s="22">
        <f>J209-H209</f>
        <v>0</v>
      </c>
      <c r="J209" s="22">
        <f>F209*G209</f>
        <v>0</v>
      </c>
      <c r="K209" s="22">
        <v>0.00652</v>
      </c>
      <c r="L209" s="22">
        <f>F209*K209</f>
        <v>0.95192</v>
      </c>
      <c r="M209" s="41" t="s">
        <v>660</v>
      </c>
      <c r="P209" s="44">
        <f>IF(AG209="5",J209,0)</f>
        <v>0</v>
      </c>
      <c r="R209" s="44">
        <f>IF(AG209="1",H209,0)</f>
        <v>0</v>
      </c>
      <c r="S209" s="44">
        <f>IF(AG209="1",I209,0)</f>
        <v>0</v>
      </c>
      <c r="T209" s="44">
        <f>IF(AG209="7",H209,0)</f>
        <v>0</v>
      </c>
      <c r="U209" s="44">
        <f>IF(AG209="7",I209,0)</f>
        <v>0</v>
      </c>
      <c r="V209" s="44">
        <f>IF(AG209="2",H209,0)</f>
        <v>0</v>
      </c>
      <c r="W209" s="44">
        <f>IF(AG209="2",I209,0)</f>
        <v>0</v>
      </c>
      <c r="X209" s="44">
        <f>IF(AG209="0",J209,0)</f>
        <v>0</v>
      </c>
      <c r="Y209" s="36" t="s">
        <v>145</v>
      </c>
      <c r="Z209" s="22">
        <f>IF(AD209=0,J209,0)</f>
        <v>0</v>
      </c>
      <c r="AA209" s="22">
        <f>IF(AD209=15,J209,0)</f>
        <v>0</v>
      </c>
      <c r="AB209" s="22">
        <f>IF(AD209=21,J209,0)</f>
        <v>0</v>
      </c>
      <c r="AD209" s="44">
        <v>21</v>
      </c>
      <c r="AE209" s="44">
        <f>G209*0.932249166414065</f>
        <v>0</v>
      </c>
      <c r="AF209" s="44">
        <f>G209*(1-0.932249166414065)</f>
        <v>0</v>
      </c>
      <c r="AG209" s="41" t="s">
        <v>7</v>
      </c>
      <c r="AM209" s="44">
        <f>F209*AE209</f>
        <v>0</v>
      </c>
      <c r="AN209" s="44">
        <f>F209*AF209</f>
        <v>0</v>
      </c>
      <c r="AO209" s="45" t="s">
        <v>688</v>
      </c>
      <c r="AP209" s="45" t="s">
        <v>713</v>
      </c>
      <c r="AQ209" s="36" t="s">
        <v>718</v>
      </c>
      <c r="AS209" s="44">
        <f>AM209+AN209</f>
        <v>0</v>
      </c>
      <c r="AT209" s="44">
        <f>G209/(100-AU209)*100</f>
        <v>0</v>
      </c>
      <c r="AU209" s="44">
        <v>0</v>
      </c>
      <c r="AV209" s="44">
        <f>L209</f>
        <v>0.95192</v>
      </c>
    </row>
    <row r="210" spans="4:7" ht="12.75">
      <c r="D210" s="17" t="s">
        <v>461</v>
      </c>
      <c r="F210" s="74">
        <v>146</v>
      </c>
      <c r="G210" s="24"/>
    </row>
    <row r="211" spans="4:7" ht="12.75">
      <c r="D211" s="17" t="s">
        <v>462</v>
      </c>
      <c r="F211" s="74">
        <v>0</v>
      </c>
      <c r="G211" s="24"/>
    </row>
    <row r="212" spans="1:48" ht="13.5">
      <c r="A212" s="6" t="s">
        <v>75</v>
      </c>
      <c r="B212" s="6" t="s">
        <v>145</v>
      </c>
      <c r="C212" s="6" t="s">
        <v>214</v>
      </c>
      <c r="D212" s="6" t="s">
        <v>463</v>
      </c>
      <c r="E212" s="6" t="s">
        <v>627</v>
      </c>
      <c r="F212" s="73">
        <v>299</v>
      </c>
      <c r="G212" s="29">
        <v>0</v>
      </c>
      <c r="H212" s="22">
        <f>F212*AE212</f>
        <v>0</v>
      </c>
      <c r="I212" s="22">
        <f>J212-H212</f>
        <v>0</v>
      </c>
      <c r="J212" s="22">
        <f>F212*G212</f>
        <v>0</v>
      </c>
      <c r="K212" s="22">
        <v>0.00061</v>
      </c>
      <c r="L212" s="22">
        <f>F212*K212</f>
        <v>0.18239</v>
      </c>
      <c r="M212" s="41" t="s">
        <v>660</v>
      </c>
      <c r="P212" s="44">
        <f>IF(AG212="5",J212,0)</f>
        <v>0</v>
      </c>
      <c r="R212" s="44">
        <f>IF(AG212="1",H212,0)</f>
        <v>0</v>
      </c>
      <c r="S212" s="44">
        <f>IF(AG212="1",I212,0)</f>
        <v>0</v>
      </c>
      <c r="T212" s="44">
        <f>IF(AG212="7",H212,0)</f>
        <v>0</v>
      </c>
      <c r="U212" s="44">
        <f>IF(AG212="7",I212,0)</f>
        <v>0</v>
      </c>
      <c r="V212" s="44">
        <f>IF(AG212="2",H212,0)</f>
        <v>0</v>
      </c>
      <c r="W212" s="44">
        <f>IF(AG212="2",I212,0)</f>
        <v>0</v>
      </c>
      <c r="X212" s="44">
        <f>IF(AG212="0",J212,0)</f>
        <v>0</v>
      </c>
      <c r="Y212" s="36" t="s">
        <v>145</v>
      </c>
      <c r="Z212" s="22">
        <f>IF(AD212=0,J212,0)</f>
        <v>0</v>
      </c>
      <c r="AA212" s="22">
        <f>IF(AD212=15,J212,0)</f>
        <v>0</v>
      </c>
      <c r="AB212" s="22">
        <f>IF(AD212=21,J212,0)</f>
        <v>0</v>
      </c>
      <c r="AD212" s="44">
        <v>21</v>
      </c>
      <c r="AE212" s="44">
        <f>G212*0.929062344139651</f>
        <v>0</v>
      </c>
      <c r="AF212" s="44">
        <f>G212*(1-0.929062344139651)</f>
        <v>0</v>
      </c>
      <c r="AG212" s="41" t="s">
        <v>7</v>
      </c>
      <c r="AM212" s="44">
        <f>F212*AE212</f>
        <v>0</v>
      </c>
      <c r="AN212" s="44">
        <f>F212*AF212</f>
        <v>0</v>
      </c>
      <c r="AO212" s="45" t="s">
        <v>688</v>
      </c>
      <c r="AP212" s="45" t="s">
        <v>713</v>
      </c>
      <c r="AQ212" s="36" t="s">
        <v>718</v>
      </c>
      <c r="AR212" s="36" t="s">
        <v>722</v>
      </c>
      <c r="AS212" s="44">
        <f>AM212+AN212</f>
        <v>0</v>
      </c>
      <c r="AT212" s="44">
        <f>G212/(100-AU212)*100</f>
        <v>0</v>
      </c>
      <c r="AU212" s="44">
        <v>0</v>
      </c>
      <c r="AV212" s="44">
        <f>L212</f>
        <v>0.18239</v>
      </c>
    </row>
    <row r="213" spans="4:7" ht="12.75">
      <c r="D213" s="17" t="s">
        <v>464</v>
      </c>
      <c r="F213" s="74">
        <v>299</v>
      </c>
      <c r="G213" s="24"/>
    </row>
    <row r="214" spans="1:48" ht="13.5">
      <c r="A214" s="6" t="s">
        <v>76</v>
      </c>
      <c r="B214" s="6" t="s">
        <v>145</v>
      </c>
      <c r="C214" s="6" t="s">
        <v>215</v>
      </c>
      <c r="D214" s="6" t="s">
        <v>465</v>
      </c>
      <c r="E214" s="6" t="s">
        <v>627</v>
      </c>
      <c r="F214" s="73">
        <v>299</v>
      </c>
      <c r="G214" s="29">
        <v>0</v>
      </c>
      <c r="H214" s="22">
        <f>F214*AE214</f>
        <v>0</v>
      </c>
      <c r="I214" s="22">
        <f>J214-H214</f>
        <v>0</v>
      </c>
      <c r="J214" s="22">
        <f>F214*G214</f>
        <v>0</v>
      </c>
      <c r="K214" s="22">
        <v>0.10373</v>
      </c>
      <c r="L214" s="22">
        <f>F214*K214</f>
        <v>31.01527</v>
      </c>
      <c r="M214" s="41" t="s">
        <v>660</v>
      </c>
      <c r="P214" s="44">
        <f>IF(AG214="5",J214,0)</f>
        <v>0</v>
      </c>
      <c r="R214" s="44">
        <f>IF(AG214="1",H214,0)</f>
        <v>0</v>
      </c>
      <c r="S214" s="44">
        <f>IF(AG214="1",I214,0)</f>
        <v>0</v>
      </c>
      <c r="T214" s="44">
        <f>IF(AG214="7",H214,0)</f>
        <v>0</v>
      </c>
      <c r="U214" s="44">
        <f>IF(AG214="7",I214,0)</f>
        <v>0</v>
      </c>
      <c r="V214" s="44">
        <f>IF(AG214="2",H214,0)</f>
        <v>0</v>
      </c>
      <c r="W214" s="44">
        <f>IF(AG214="2",I214,0)</f>
        <v>0</v>
      </c>
      <c r="X214" s="44">
        <f>IF(AG214="0",J214,0)</f>
        <v>0</v>
      </c>
      <c r="Y214" s="36" t="s">
        <v>145</v>
      </c>
      <c r="Z214" s="22">
        <f>IF(AD214=0,J214,0)</f>
        <v>0</v>
      </c>
      <c r="AA214" s="22">
        <f>IF(AD214=15,J214,0)</f>
        <v>0</v>
      </c>
      <c r="AB214" s="22">
        <f>IF(AD214=21,J214,0)</f>
        <v>0</v>
      </c>
      <c r="AD214" s="44">
        <v>21</v>
      </c>
      <c r="AE214" s="44">
        <f>G214*0.785614617940199</f>
        <v>0</v>
      </c>
      <c r="AF214" s="44">
        <f>G214*(1-0.785614617940199)</f>
        <v>0</v>
      </c>
      <c r="AG214" s="41" t="s">
        <v>7</v>
      </c>
      <c r="AM214" s="44">
        <f>F214*AE214</f>
        <v>0</v>
      </c>
      <c r="AN214" s="44">
        <f>F214*AF214</f>
        <v>0</v>
      </c>
      <c r="AO214" s="45" t="s">
        <v>688</v>
      </c>
      <c r="AP214" s="45" t="s">
        <v>713</v>
      </c>
      <c r="AQ214" s="36" t="s">
        <v>718</v>
      </c>
      <c r="AS214" s="44">
        <f>AM214+AN214</f>
        <v>0</v>
      </c>
      <c r="AT214" s="44">
        <f>G214/(100-AU214)*100</f>
        <v>0</v>
      </c>
      <c r="AU214" s="44">
        <v>0</v>
      </c>
      <c r="AV214" s="44">
        <f>L214</f>
        <v>31.01527</v>
      </c>
    </row>
    <row r="215" spans="4:7" ht="12.75">
      <c r="D215" s="17" t="s">
        <v>466</v>
      </c>
      <c r="F215" s="74">
        <v>299</v>
      </c>
      <c r="G215" s="24"/>
    </row>
    <row r="216" spans="1:37" ht="13.5">
      <c r="A216" s="5"/>
      <c r="B216" s="14" t="s">
        <v>145</v>
      </c>
      <c r="C216" s="14" t="s">
        <v>65</v>
      </c>
      <c r="D216" s="14" t="s">
        <v>467</v>
      </c>
      <c r="E216" s="5" t="s">
        <v>6</v>
      </c>
      <c r="F216" s="5" t="s">
        <v>6</v>
      </c>
      <c r="G216" s="28" t="s">
        <v>6</v>
      </c>
      <c r="H216" s="47">
        <f>SUM(H217:H245)</f>
        <v>0</v>
      </c>
      <c r="I216" s="47">
        <f>SUM(I217:I245)</f>
        <v>0</v>
      </c>
      <c r="J216" s="47">
        <f>H216+I216</f>
        <v>0</v>
      </c>
      <c r="K216" s="36"/>
      <c r="L216" s="47">
        <f>SUM(L217:L245)</f>
        <v>73.2392042</v>
      </c>
      <c r="M216" s="36"/>
      <c r="Y216" s="36" t="s">
        <v>145</v>
      </c>
      <c r="AI216" s="47">
        <f>SUM(Z217:Z245)</f>
        <v>0</v>
      </c>
      <c r="AJ216" s="47">
        <f>SUM(AA217:AA245)</f>
        <v>0</v>
      </c>
      <c r="AK216" s="47">
        <f>SUM(AB217:AB245)</f>
        <v>0</v>
      </c>
    </row>
    <row r="217" spans="1:48" ht="13.5">
      <c r="A217" s="6" t="s">
        <v>77</v>
      </c>
      <c r="B217" s="6" t="s">
        <v>145</v>
      </c>
      <c r="C217" s="6" t="s">
        <v>216</v>
      </c>
      <c r="D217" s="6" t="s">
        <v>468</v>
      </c>
      <c r="E217" s="6" t="s">
        <v>628</v>
      </c>
      <c r="F217" s="73">
        <v>4.9</v>
      </c>
      <c r="G217" s="29">
        <v>0</v>
      </c>
      <c r="H217" s="22">
        <f>F217*AE217</f>
        <v>0</v>
      </c>
      <c r="I217" s="22">
        <f>J217-H217</f>
        <v>0</v>
      </c>
      <c r="J217" s="22">
        <f>F217*G217</f>
        <v>0</v>
      </c>
      <c r="K217" s="22">
        <v>0.0036</v>
      </c>
      <c r="L217" s="22">
        <f>F217*K217</f>
        <v>0.01764</v>
      </c>
      <c r="M217" s="41" t="s">
        <v>660</v>
      </c>
      <c r="P217" s="44">
        <f>IF(AG217="5",J217,0)</f>
        <v>0</v>
      </c>
      <c r="R217" s="44">
        <f>IF(AG217="1",H217,0)</f>
        <v>0</v>
      </c>
      <c r="S217" s="44">
        <f>IF(AG217="1",I217,0)</f>
        <v>0</v>
      </c>
      <c r="T217" s="44">
        <f>IF(AG217="7",H217,0)</f>
        <v>0</v>
      </c>
      <c r="U217" s="44">
        <f>IF(AG217="7",I217,0)</f>
        <v>0</v>
      </c>
      <c r="V217" s="44">
        <f>IF(AG217="2",H217,0)</f>
        <v>0</v>
      </c>
      <c r="W217" s="44">
        <f>IF(AG217="2",I217,0)</f>
        <v>0</v>
      </c>
      <c r="X217" s="44">
        <f>IF(AG217="0",J217,0)</f>
        <v>0</v>
      </c>
      <c r="Y217" s="36" t="s">
        <v>145</v>
      </c>
      <c r="Z217" s="22">
        <f>IF(AD217=0,J217,0)</f>
        <v>0</v>
      </c>
      <c r="AA217" s="22">
        <f>IF(AD217=15,J217,0)</f>
        <v>0</v>
      </c>
      <c r="AB217" s="22">
        <f>IF(AD217=21,J217,0)</f>
        <v>0</v>
      </c>
      <c r="AD217" s="44">
        <v>21</v>
      </c>
      <c r="AE217" s="44">
        <f>G217*0.766857585139319</f>
        <v>0</v>
      </c>
      <c r="AF217" s="44">
        <f>G217*(1-0.766857585139319)</f>
        <v>0</v>
      </c>
      <c r="AG217" s="41" t="s">
        <v>7</v>
      </c>
      <c r="AM217" s="44">
        <f>F217*AE217</f>
        <v>0</v>
      </c>
      <c r="AN217" s="44">
        <f>F217*AF217</f>
        <v>0</v>
      </c>
      <c r="AO217" s="45" t="s">
        <v>689</v>
      </c>
      <c r="AP217" s="45" t="s">
        <v>713</v>
      </c>
      <c r="AQ217" s="36" t="s">
        <v>718</v>
      </c>
      <c r="AS217" s="44">
        <f>AM217+AN217</f>
        <v>0</v>
      </c>
      <c r="AT217" s="44">
        <f>G217/(100-AU217)*100</f>
        <v>0</v>
      </c>
      <c r="AU217" s="44">
        <v>0</v>
      </c>
      <c r="AV217" s="44">
        <f>L217</f>
        <v>0.01764</v>
      </c>
    </row>
    <row r="218" spans="4:7" ht="12.75">
      <c r="D218" s="17" t="s">
        <v>469</v>
      </c>
      <c r="F218" s="74">
        <v>4.9</v>
      </c>
      <c r="G218" s="24"/>
    </row>
    <row r="219" spans="1:48" ht="13.5">
      <c r="A219" s="6" t="s">
        <v>78</v>
      </c>
      <c r="B219" s="6" t="s">
        <v>145</v>
      </c>
      <c r="C219" s="6" t="s">
        <v>217</v>
      </c>
      <c r="D219" s="6" t="s">
        <v>470</v>
      </c>
      <c r="E219" s="6" t="s">
        <v>627</v>
      </c>
      <c r="F219" s="73">
        <v>281.5</v>
      </c>
      <c r="G219" s="29">
        <v>0</v>
      </c>
      <c r="H219" s="22">
        <f>F219*AE219</f>
        <v>0</v>
      </c>
      <c r="I219" s="22">
        <f>J219-H219</f>
        <v>0</v>
      </c>
      <c r="J219" s="22">
        <f>F219*G219</f>
        <v>0</v>
      </c>
      <c r="K219" s="22">
        <v>0.0739</v>
      </c>
      <c r="L219" s="22">
        <f>F219*K219</f>
        <v>20.80285</v>
      </c>
      <c r="M219" s="41" t="s">
        <v>660</v>
      </c>
      <c r="P219" s="44">
        <f>IF(AG219="5",J219,0)</f>
        <v>0</v>
      </c>
      <c r="R219" s="44">
        <f>IF(AG219="1",H219,0)</f>
        <v>0</v>
      </c>
      <c r="S219" s="44">
        <f>IF(AG219="1",I219,0)</f>
        <v>0</v>
      </c>
      <c r="T219" s="44">
        <f>IF(AG219="7",H219,0)</f>
        <v>0</v>
      </c>
      <c r="U219" s="44">
        <f>IF(AG219="7",I219,0)</f>
        <v>0</v>
      </c>
      <c r="V219" s="44">
        <f>IF(AG219="2",H219,0)</f>
        <v>0</v>
      </c>
      <c r="W219" s="44">
        <f>IF(AG219="2",I219,0)</f>
        <v>0</v>
      </c>
      <c r="X219" s="44">
        <f>IF(AG219="0",J219,0)</f>
        <v>0</v>
      </c>
      <c r="Y219" s="36" t="s">
        <v>145</v>
      </c>
      <c r="Z219" s="22">
        <f>IF(AD219=0,J219,0)</f>
        <v>0</v>
      </c>
      <c r="AA219" s="22">
        <f>IF(AD219=15,J219,0)</f>
        <v>0</v>
      </c>
      <c r="AB219" s="22">
        <f>IF(AD219=21,J219,0)</f>
        <v>0</v>
      </c>
      <c r="AD219" s="44">
        <v>21</v>
      </c>
      <c r="AE219" s="44">
        <f>G219*0.16217210128427</f>
        <v>0</v>
      </c>
      <c r="AF219" s="44">
        <f>G219*(1-0.16217210128427)</f>
        <v>0</v>
      </c>
      <c r="AG219" s="41" t="s">
        <v>7</v>
      </c>
      <c r="AM219" s="44">
        <f>F219*AE219</f>
        <v>0</v>
      </c>
      <c r="AN219" s="44">
        <f>F219*AF219</f>
        <v>0</v>
      </c>
      <c r="AO219" s="45" t="s">
        <v>689</v>
      </c>
      <c r="AP219" s="45" t="s">
        <v>713</v>
      </c>
      <c r="AQ219" s="36" t="s">
        <v>718</v>
      </c>
      <c r="AS219" s="44">
        <f>AM219+AN219</f>
        <v>0</v>
      </c>
      <c r="AT219" s="44">
        <f>G219/(100-AU219)*100</f>
        <v>0</v>
      </c>
      <c r="AU219" s="44">
        <v>0</v>
      </c>
      <c r="AV219" s="44">
        <f>L219</f>
        <v>20.80285</v>
      </c>
    </row>
    <row r="220" spans="4:7" ht="12.75">
      <c r="D220" s="17" t="s">
        <v>471</v>
      </c>
      <c r="F220" s="74">
        <v>277</v>
      </c>
      <c r="G220" s="24"/>
    </row>
    <row r="221" spans="4:7" ht="12.75">
      <c r="D221" s="17" t="s">
        <v>472</v>
      </c>
      <c r="F221" s="74">
        <v>0</v>
      </c>
      <c r="G221" s="24"/>
    </row>
    <row r="222" spans="4:7" ht="12.75">
      <c r="D222" s="17" t="s">
        <v>473</v>
      </c>
      <c r="F222" s="74">
        <v>4.5</v>
      </c>
      <c r="G222" s="24"/>
    </row>
    <row r="223" spans="4:7" ht="12.75">
      <c r="D223" s="17" t="s">
        <v>474</v>
      </c>
      <c r="F223" s="74">
        <v>0</v>
      </c>
      <c r="G223" s="24"/>
    </row>
    <row r="224" spans="4:7" ht="12.75">
      <c r="D224" s="17"/>
      <c r="F224" s="74">
        <v>0</v>
      </c>
      <c r="G224" s="24"/>
    </row>
    <row r="225" spans="1:48" ht="13.5">
      <c r="A225" s="7" t="s">
        <v>79</v>
      </c>
      <c r="B225" s="7" t="s">
        <v>145</v>
      </c>
      <c r="C225" s="7" t="s">
        <v>218</v>
      </c>
      <c r="D225" s="7" t="s">
        <v>475</v>
      </c>
      <c r="E225" s="7" t="s">
        <v>627</v>
      </c>
      <c r="F225" s="75">
        <v>288.08</v>
      </c>
      <c r="G225" s="30">
        <v>0</v>
      </c>
      <c r="H225" s="23">
        <f>F225*AE225</f>
        <v>0</v>
      </c>
      <c r="I225" s="23">
        <f>J225-H225</f>
        <v>0</v>
      </c>
      <c r="J225" s="23">
        <f>F225*G225</f>
        <v>0</v>
      </c>
      <c r="K225" s="23">
        <v>0.17245</v>
      </c>
      <c r="L225" s="23">
        <f>F225*K225</f>
        <v>49.679396</v>
      </c>
      <c r="M225" s="42" t="s">
        <v>660</v>
      </c>
      <c r="P225" s="44">
        <f>IF(AG225="5",J225,0)</f>
        <v>0</v>
      </c>
      <c r="R225" s="44">
        <f>IF(AG225="1",H225,0)</f>
        <v>0</v>
      </c>
      <c r="S225" s="44">
        <f>IF(AG225="1",I225,0)</f>
        <v>0</v>
      </c>
      <c r="T225" s="44">
        <f>IF(AG225="7",H225,0)</f>
        <v>0</v>
      </c>
      <c r="U225" s="44">
        <f>IF(AG225="7",I225,0)</f>
        <v>0</v>
      </c>
      <c r="V225" s="44">
        <f>IF(AG225="2",H225,0)</f>
        <v>0</v>
      </c>
      <c r="W225" s="44">
        <f>IF(AG225="2",I225,0)</f>
        <v>0</v>
      </c>
      <c r="X225" s="44">
        <f>IF(AG225="0",J225,0)</f>
        <v>0</v>
      </c>
      <c r="Y225" s="36" t="s">
        <v>145</v>
      </c>
      <c r="Z225" s="23">
        <f>IF(AD225=0,J225,0)</f>
        <v>0</v>
      </c>
      <c r="AA225" s="23">
        <f>IF(AD225=15,J225,0)</f>
        <v>0</v>
      </c>
      <c r="AB225" s="23">
        <f>IF(AD225=21,J225,0)</f>
        <v>0</v>
      </c>
      <c r="AD225" s="44">
        <v>21</v>
      </c>
      <c r="AE225" s="44">
        <f>G225*1</f>
        <v>0</v>
      </c>
      <c r="AF225" s="44">
        <f>G225*(1-1)</f>
        <v>0</v>
      </c>
      <c r="AG225" s="42" t="s">
        <v>7</v>
      </c>
      <c r="AM225" s="44">
        <f>F225*AE225</f>
        <v>0</v>
      </c>
      <c r="AN225" s="44">
        <f>F225*AF225</f>
        <v>0</v>
      </c>
      <c r="AO225" s="45" t="s">
        <v>689</v>
      </c>
      <c r="AP225" s="45" t="s">
        <v>713</v>
      </c>
      <c r="AQ225" s="36" t="s">
        <v>718</v>
      </c>
      <c r="AS225" s="44">
        <f>AM225+AN225</f>
        <v>0</v>
      </c>
      <c r="AT225" s="44">
        <f>G225/(100-AU225)*100</f>
        <v>0</v>
      </c>
      <c r="AU225" s="44">
        <v>0</v>
      </c>
      <c r="AV225" s="44">
        <f>L225</f>
        <v>49.679396</v>
      </c>
    </row>
    <row r="226" spans="4:7" ht="12.75">
      <c r="D226" s="17" t="s">
        <v>476</v>
      </c>
      <c r="F226" s="74">
        <v>288.08</v>
      </c>
      <c r="G226" s="24"/>
    </row>
    <row r="227" spans="1:48" ht="13.5">
      <c r="A227" s="6" t="s">
        <v>80</v>
      </c>
      <c r="B227" s="6" t="s">
        <v>145</v>
      </c>
      <c r="C227" s="6" t="s">
        <v>219</v>
      </c>
      <c r="D227" s="6" t="s">
        <v>477</v>
      </c>
      <c r="E227" s="6" t="s">
        <v>628</v>
      </c>
      <c r="F227" s="73">
        <v>14.075</v>
      </c>
      <c r="G227" s="29">
        <v>0</v>
      </c>
      <c r="H227" s="22">
        <f>F227*AE227</f>
        <v>0</v>
      </c>
      <c r="I227" s="22">
        <f>J227-H227</f>
        <v>0</v>
      </c>
      <c r="J227" s="22">
        <f>F227*G227</f>
        <v>0</v>
      </c>
      <c r="K227" s="22">
        <v>0.00036</v>
      </c>
      <c r="L227" s="22">
        <f>F227*K227</f>
        <v>0.005067</v>
      </c>
      <c r="M227" s="41" t="s">
        <v>660</v>
      </c>
      <c r="P227" s="44">
        <f>IF(AG227="5",J227,0)</f>
        <v>0</v>
      </c>
      <c r="R227" s="44">
        <f>IF(AG227="1",H227,0)</f>
        <v>0</v>
      </c>
      <c r="S227" s="44">
        <f>IF(AG227="1",I227,0)</f>
        <v>0</v>
      </c>
      <c r="T227" s="44">
        <f>IF(AG227="7",H227,0)</f>
        <v>0</v>
      </c>
      <c r="U227" s="44">
        <f>IF(AG227="7",I227,0)</f>
        <v>0</v>
      </c>
      <c r="V227" s="44">
        <f>IF(AG227="2",H227,0)</f>
        <v>0</v>
      </c>
      <c r="W227" s="44">
        <f>IF(AG227="2",I227,0)</f>
        <v>0</v>
      </c>
      <c r="X227" s="44">
        <f>IF(AG227="0",J227,0)</f>
        <v>0</v>
      </c>
      <c r="Y227" s="36" t="s">
        <v>145</v>
      </c>
      <c r="Z227" s="22">
        <f>IF(AD227=0,J227,0)</f>
        <v>0</v>
      </c>
      <c r="AA227" s="22">
        <f>IF(AD227=15,J227,0)</f>
        <v>0</v>
      </c>
      <c r="AB227" s="22">
        <f>IF(AD227=21,J227,0)</f>
        <v>0</v>
      </c>
      <c r="AD227" s="44">
        <v>21</v>
      </c>
      <c r="AE227" s="44">
        <f>G227*0.0677807473190348</f>
        <v>0</v>
      </c>
      <c r="AF227" s="44">
        <f>G227*(1-0.0677807473190348)</f>
        <v>0</v>
      </c>
      <c r="AG227" s="41" t="s">
        <v>7</v>
      </c>
      <c r="AM227" s="44">
        <f>F227*AE227</f>
        <v>0</v>
      </c>
      <c r="AN227" s="44">
        <f>F227*AF227</f>
        <v>0</v>
      </c>
      <c r="AO227" s="45" t="s">
        <v>689</v>
      </c>
      <c r="AP227" s="45" t="s">
        <v>713</v>
      </c>
      <c r="AQ227" s="36" t="s">
        <v>718</v>
      </c>
      <c r="AS227" s="44">
        <f>AM227+AN227</f>
        <v>0</v>
      </c>
      <c r="AT227" s="44">
        <f>G227/(100-AU227)*100</f>
        <v>0</v>
      </c>
      <c r="AU227" s="44">
        <v>0</v>
      </c>
      <c r="AV227" s="44">
        <f>L227</f>
        <v>0.005067</v>
      </c>
    </row>
    <row r="228" spans="4:7" ht="12.75">
      <c r="D228" s="18" t="s">
        <v>478</v>
      </c>
      <c r="G228" s="24"/>
    </row>
    <row r="229" spans="4:7" ht="12.75">
      <c r="D229" s="17" t="s">
        <v>479</v>
      </c>
      <c r="F229" s="74">
        <v>14.075</v>
      </c>
      <c r="G229" s="24"/>
    </row>
    <row r="230" spans="4:7" ht="12.75">
      <c r="D230" s="17" t="s">
        <v>480</v>
      </c>
      <c r="F230" s="74">
        <v>0</v>
      </c>
      <c r="G230" s="24"/>
    </row>
    <row r="231" spans="1:48" ht="13.5">
      <c r="A231" s="7" t="s">
        <v>81</v>
      </c>
      <c r="B231" s="7" t="s">
        <v>145</v>
      </c>
      <c r="C231" s="7" t="s">
        <v>220</v>
      </c>
      <c r="D231" s="7" t="s">
        <v>481</v>
      </c>
      <c r="E231" s="7" t="s">
        <v>627</v>
      </c>
      <c r="F231" s="75">
        <v>4.68</v>
      </c>
      <c r="G231" s="30">
        <v>0</v>
      </c>
      <c r="H231" s="23">
        <f>F231*AE231</f>
        <v>0</v>
      </c>
      <c r="I231" s="23">
        <f>J231-H231</f>
        <v>0</v>
      </c>
      <c r="J231" s="23">
        <f>F231*G231</f>
        <v>0</v>
      </c>
      <c r="K231" s="23">
        <v>0.17824</v>
      </c>
      <c r="L231" s="23">
        <f>F231*K231</f>
        <v>0.8341632</v>
      </c>
      <c r="M231" s="42" t="s">
        <v>660</v>
      </c>
      <c r="P231" s="44">
        <f>IF(AG231="5",J231,0)</f>
        <v>0</v>
      </c>
      <c r="R231" s="44">
        <f>IF(AG231="1",H231,0)</f>
        <v>0</v>
      </c>
      <c r="S231" s="44">
        <f>IF(AG231="1",I231,0)</f>
        <v>0</v>
      </c>
      <c r="T231" s="44">
        <f>IF(AG231="7",H231,0)</f>
        <v>0</v>
      </c>
      <c r="U231" s="44">
        <f>IF(AG231="7",I231,0)</f>
        <v>0</v>
      </c>
      <c r="V231" s="44">
        <f>IF(AG231="2",H231,0)</f>
        <v>0</v>
      </c>
      <c r="W231" s="44">
        <f>IF(AG231="2",I231,0)</f>
        <v>0</v>
      </c>
      <c r="X231" s="44">
        <f>IF(AG231="0",J231,0)</f>
        <v>0</v>
      </c>
      <c r="Y231" s="36" t="s">
        <v>145</v>
      </c>
      <c r="Z231" s="23">
        <f>IF(AD231=0,J231,0)</f>
        <v>0</v>
      </c>
      <c r="AA231" s="23">
        <f>IF(AD231=15,J231,0)</f>
        <v>0</v>
      </c>
      <c r="AB231" s="23">
        <f>IF(AD231=21,J231,0)</f>
        <v>0</v>
      </c>
      <c r="AD231" s="44">
        <v>21</v>
      </c>
      <c r="AE231" s="44">
        <f>G231*1</f>
        <v>0</v>
      </c>
      <c r="AF231" s="44">
        <f>G231*(1-1)</f>
        <v>0</v>
      </c>
      <c r="AG231" s="42" t="s">
        <v>7</v>
      </c>
      <c r="AM231" s="44">
        <f>F231*AE231</f>
        <v>0</v>
      </c>
      <c r="AN231" s="44">
        <f>F231*AF231</f>
        <v>0</v>
      </c>
      <c r="AO231" s="45" t="s">
        <v>689</v>
      </c>
      <c r="AP231" s="45" t="s">
        <v>713</v>
      </c>
      <c r="AQ231" s="36" t="s">
        <v>718</v>
      </c>
      <c r="AS231" s="44">
        <f>AM231+AN231</f>
        <v>0</v>
      </c>
      <c r="AT231" s="44">
        <f>G231/(100-AU231)*100</f>
        <v>0</v>
      </c>
      <c r="AU231" s="44">
        <v>0</v>
      </c>
      <c r="AV231" s="44">
        <f>L231</f>
        <v>0.8341632</v>
      </c>
    </row>
    <row r="232" spans="4:7" ht="12.75">
      <c r="D232" s="17" t="s">
        <v>482</v>
      </c>
      <c r="F232" s="74">
        <v>4.68</v>
      </c>
      <c r="G232" s="24"/>
    </row>
    <row r="233" spans="1:48" ht="13.5">
      <c r="A233" s="6" t="s">
        <v>82</v>
      </c>
      <c r="B233" s="6" t="s">
        <v>145</v>
      </c>
      <c r="C233" s="6" t="s">
        <v>221</v>
      </c>
      <c r="D233" s="6" t="s">
        <v>483</v>
      </c>
      <c r="E233" s="6" t="s">
        <v>627</v>
      </c>
      <c r="F233" s="73">
        <v>0.65</v>
      </c>
      <c r="G233" s="29">
        <v>0</v>
      </c>
      <c r="H233" s="22">
        <f>F233*AE233</f>
        <v>0</v>
      </c>
      <c r="I233" s="22">
        <f>J233-H233</f>
        <v>0</v>
      </c>
      <c r="J233" s="22">
        <f>F233*G233</f>
        <v>0</v>
      </c>
      <c r="K233" s="22">
        <v>0.30132</v>
      </c>
      <c r="L233" s="22">
        <f>F233*K233</f>
        <v>0.195858</v>
      </c>
      <c r="M233" s="41" t="s">
        <v>660</v>
      </c>
      <c r="P233" s="44">
        <f>IF(AG233="5",J233,0)</f>
        <v>0</v>
      </c>
      <c r="R233" s="44">
        <f>IF(AG233="1",H233,0)</f>
        <v>0</v>
      </c>
      <c r="S233" s="44">
        <f>IF(AG233="1",I233,0)</f>
        <v>0</v>
      </c>
      <c r="T233" s="44">
        <f>IF(AG233="7",H233,0)</f>
        <v>0</v>
      </c>
      <c r="U233" s="44">
        <f>IF(AG233="7",I233,0)</f>
        <v>0</v>
      </c>
      <c r="V233" s="44">
        <f>IF(AG233="2",H233,0)</f>
        <v>0</v>
      </c>
      <c r="W233" s="44">
        <f>IF(AG233="2",I233,0)</f>
        <v>0</v>
      </c>
      <c r="X233" s="44">
        <f>IF(AG233="0",J233,0)</f>
        <v>0</v>
      </c>
      <c r="Y233" s="36" t="s">
        <v>145</v>
      </c>
      <c r="Z233" s="22">
        <f>IF(AD233=0,J233,0)</f>
        <v>0</v>
      </c>
      <c r="AA233" s="22">
        <f>IF(AD233=15,J233,0)</f>
        <v>0</v>
      </c>
      <c r="AB233" s="22">
        <f>IF(AD233=21,J233,0)</f>
        <v>0</v>
      </c>
      <c r="AD233" s="44">
        <v>21</v>
      </c>
      <c r="AE233" s="44">
        <f>G233*0.439824701195219</f>
        <v>0</v>
      </c>
      <c r="AF233" s="44">
        <f>G233*(1-0.439824701195219)</f>
        <v>0</v>
      </c>
      <c r="AG233" s="41" t="s">
        <v>7</v>
      </c>
      <c r="AM233" s="44">
        <f>F233*AE233</f>
        <v>0</v>
      </c>
      <c r="AN233" s="44">
        <f>F233*AF233</f>
        <v>0</v>
      </c>
      <c r="AO233" s="45" t="s">
        <v>689</v>
      </c>
      <c r="AP233" s="45" t="s">
        <v>713</v>
      </c>
      <c r="AQ233" s="36" t="s">
        <v>718</v>
      </c>
      <c r="AS233" s="44">
        <f>AM233+AN233</f>
        <v>0</v>
      </c>
      <c r="AT233" s="44">
        <f>G233/(100-AU233)*100</f>
        <v>0</v>
      </c>
      <c r="AU233" s="44">
        <v>0</v>
      </c>
      <c r="AV233" s="44">
        <f>L233</f>
        <v>0.195858</v>
      </c>
    </row>
    <row r="234" spans="4:7" ht="12.75">
      <c r="D234" s="18" t="s">
        <v>484</v>
      </c>
      <c r="G234" s="24"/>
    </row>
    <row r="235" spans="4:7" ht="12.75">
      <c r="D235" s="17" t="s">
        <v>485</v>
      </c>
      <c r="F235" s="74">
        <v>0.65</v>
      </c>
      <c r="G235" s="24"/>
    </row>
    <row r="236" spans="1:48" ht="13.5">
      <c r="A236" s="7" t="s">
        <v>83</v>
      </c>
      <c r="B236" s="7" t="s">
        <v>145</v>
      </c>
      <c r="C236" s="7" t="s">
        <v>222</v>
      </c>
      <c r="D236" s="7" t="s">
        <v>486</v>
      </c>
      <c r="E236" s="7" t="s">
        <v>627</v>
      </c>
      <c r="F236" s="75">
        <v>0.683</v>
      </c>
      <c r="G236" s="30">
        <v>0</v>
      </c>
      <c r="H236" s="23">
        <f>F236*AE236</f>
        <v>0</v>
      </c>
      <c r="I236" s="23">
        <f>J236-H236</f>
        <v>0</v>
      </c>
      <c r="J236" s="23">
        <f>F236*G236</f>
        <v>0</v>
      </c>
      <c r="K236" s="23">
        <v>0.2</v>
      </c>
      <c r="L236" s="23">
        <f>F236*K236</f>
        <v>0.13660000000000003</v>
      </c>
      <c r="M236" s="42" t="s">
        <v>660</v>
      </c>
      <c r="P236" s="44">
        <f>IF(AG236="5",J236,0)</f>
        <v>0</v>
      </c>
      <c r="R236" s="44">
        <f>IF(AG236="1",H236,0)</f>
        <v>0</v>
      </c>
      <c r="S236" s="44">
        <f>IF(AG236="1",I236,0)</f>
        <v>0</v>
      </c>
      <c r="T236" s="44">
        <f>IF(AG236="7",H236,0)</f>
        <v>0</v>
      </c>
      <c r="U236" s="44">
        <f>IF(AG236="7",I236,0)</f>
        <v>0</v>
      </c>
      <c r="V236" s="44">
        <f>IF(AG236="2",H236,0)</f>
        <v>0</v>
      </c>
      <c r="W236" s="44">
        <f>IF(AG236="2",I236,0)</f>
        <v>0</v>
      </c>
      <c r="X236" s="44">
        <f>IF(AG236="0",J236,0)</f>
        <v>0</v>
      </c>
      <c r="Y236" s="36" t="s">
        <v>145</v>
      </c>
      <c r="Z236" s="23">
        <f>IF(AD236=0,J236,0)</f>
        <v>0</v>
      </c>
      <c r="AA236" s="23">
        <f>IF(AD236=15,J236,0)</f>
        <v>0</v>
      </c>
      <c r="AB236" s="23">
        <f>IF(AD236=21,J236,0)</f>
        <v>0</v>
      </c>
      <c r="AD236" s="44">
        <v>21</v>
      </c>
      <c r="AE236" s="44">
        <f>G236*1</f>
        <v>0</v>
      </c>
      <c r="AF236" s="44">
        <f>G236*(1-1)</f>
        <v>0</v>
      </c>
      <c r="AG236" s="42" t="s">
        <v>7</v>
      </c>
      <c r="AM236" s="44">
        <f>F236*AE236</f>
        <v>0</v>
      </c>
      <c r="AN236" s="44">
        <f>F236*AF236</f>
        <v>0</v>
      </c>
      <c r="AO236" s="45" t="s">
        <v>689</v>
      </c>
      <c r="AP236" s="45" t="s">
        <v>713</v>
      </c>
      <c r="AQ236" s="36" t="s">
        <v>718</v>
      </c>
      <c r="AS236" s="44">
        <f>AM236+AN236</f>
        <v>0</v>
      </c>
      <c r="AT236" s="44">
        <f>G236/(100-AU236)*100</f>
        <v>0</v>
      </c>
      <c r="AU236" s="44">
        <v>0</v>
      </c>
      <c r="AV236" s="44">
        <f>L236</f>
        <v>0.13660000000000003</v>
      </c>
    </row>
    <row r="237" spans="4:7" ht="12.75">
      <c r="D237" s="17" t="s">
        <v>487</v>
      </c>
      <c r="F237" s="74">
        <v>0.683</v>
      </c>
      <c r="G237" s="24"/>
    </row>
    <row r="238" spans="1:48" ht="13.5">
      <c r="A238" s="6" t="s">
        <v>84</v>
      </c>
      <c r="B238" s="6" t="s">
        <v>145</v>
      </c>
      <c r="C238" s="6" t="s">
        <v>223</v>
      </c>
      <c r="D238" s="6" t="s">
        <v>488</v>
      </c>
      <c r="E238" s="6" t="s">
        <v>631</v>
      </c>
      <c r="F238" s="73">
        <v>3</v>
      </c>
      <c r="G238" s="29">
        <v>0</v>
      </c>
      <c r="H238" s="22">
        <f>F238*AE238</f>
        <v>0</v>
      </c>
      <c r="I238" s="22">
        <f>J238-H238</f>
        <v>0</v>
      </c>
      <c r="J238" s="22">
        <f>F238*G238</f>
        <v>0</v>
      </c>
      <c r="K238" s="22">
        <v>0.22344</v>
      </c>
      <c r="L238" s="22">
        <f>F238*K238</f>
        <v>0.67032</v>
      </c>
      <c r="M238" s="41" t="s">
        <v>660</v>
      </c>
      <c r="P238" s="44">
        <f>IF(AG238="5",J238,0)</f>
        <v>0</v>
      </c>
      <c r="R238" s="44">
        <f>IF(AG238="1",H238,0)</f>
        <v>0</v>
      </c>
      <c r="S238" s="44">
        <f>IF(AG238="1",I238,0)</f>
        <v>0</v>
      </c>
      <c r="T238" s="44">
        <f>IF(AG238="7",H238,0)</f>
        <v>0</v>
      </c>
      <c r="U238" s="44">
        <f>IF(AG238="7",I238,0)</f>
        <v>0</v>
      </c>
      <c r="V238" s="44">
        <f>IF(AG238="2",H238,0)</f>
        <v>0</v>
      </c>
      <c r="W238" s="44">
        <f>IF(AG238="2",I238,0)</f>
        <v>0</v>
      </c>
      <c r="X238" s="44">
        <f>IF(AG238="0",J238,0)</f>
        <v>0</v>
      </c>
      <c r="Y238" s="36" t="s">
        <v>145</v>
      </c>
      <c r="Z238" s="22">
        <f>IF(AD238=0,J238,0)</f>
        <v>0</v>
      </c>
      <c r="AA238" s="22">
        <f>IF(AD238=15,J238,0)</f>
        <v>0</v>
      </c>
      <c r="AB238" s="22">
        <f>IF(AD238=21,J238,0)</f>
        <v>0</v>
      </c>
      <c r="AD238" s="44">
        <v>21</v>
      </c>
      <c r="AE238" s="44">
        <f>G238*0.167882352941176</f>
        <v>0</v>
      </c>
      <c r="AF238" s="44">
        <f>G238*(1-0.167882352941176)</f>
        <v>0</v>
      </c>
      <c r="AG238" s="41" t="s">
        <v>7</v>
      </c>
      <c r="AM238" s="44">
        <f>F238*AE238</f>
        <v>0</v>
      </c>
      <c r="AN238" s="44">
        <f>F238*AF238</f>
        <v>0</v>
      </c>
      <c r="AO238" s="45" t="s">
        <v>689</v>
      </c>
      <c r="AP238" s="45" t="s">
        <v>713</v>
      </c>
      <c r="AQ238" s="36" t="s">
        <v>718</v>
      </c>
      <c r="AS238" s="44">
        <f>AM238+AN238</f>
        <v>0</v>
      </c>
      <c r="AT238" s="44">
        <f>G238/(100-AU238)*100</f>
        <v>0</v>
      </c>
      <c r="AU238" s="44">
        <v>0</v>
      </c>
      <c r="AV238" s="44">
        <f>L238</f>
        <v>0.67032</v>
      </c>
    </row>
    <row r="239" spans="4:7" ht="12.75">
      <c r="D239" s="17" t="s">
        <v>9</v>
      </c>
      <c r="F239" s="74">
        <v>3</v>
      </c>
      <c r="G239" s="24"/>
    </row>
    <row r="240" spans="1:48" ht="13.5">
      <c r="A240" s="7" t="s">
        <v>85</v>
      </c>
      <c r="B240" s="7" t="s">
        <v>145</v>
      </c>
      <c r="C240" s="7" t="s">
        <v>224</v>
      </c>
      <c r="D240" s="7" t="s">
        <v>489</v>
      </c>
      <c r="E240" s="7" t="s">
        <v>631</v>
      </c>
      <c r="F240" s="75">
        <v>3</v>
      </c>
      <c r="G240" s="30">
        <v>0</v>
      </c>
      <c r="H240" s="23">
        <f>F240*AE240</f>
        <v>0</v>
      </c>
      <c r="I240" s="23">
        <f>J240-H240</f>
        <v>0</v>
      </c>
      <c r="J240" s="23">
        <f>F240*G240</f>
        <v>0</v>
      </c>
      <c r="K240" s="23">
        <v>0.0255</v>
      </c>
      <c r="L240" s="23">
        <f>F240*K240</f>
        <v>0.0765</v>
      </c>
      <c r="M240" s="42" t="s">
        <v>661</v>
      </c>
      <c r="P240" s="44">
        <f>IF(AG240="5",J240,0)</f>
        <v>0</v>
      </c>
      <c r="R240" s="44">
        <f>IF(AG240="1",H240,0)</f>
        <v>0</v>
      </c>
      <c r="S240" s="44">
        <f>IF(AG240="1",I240,0)</f>
        <v>0</v>
      </c>
      <c r="T240" s="44">
        <f>IF(AG240="7",H240,0)</f>
        <v>0</v>
      </c>
      <c r="U240" s="44">
        <f>IF(AG240="7",I240,0)</f>
        <v>0</v>
      </c>
      <c r="V240" s="44">
        <f>IF(AG240="2",H240,0)</f>
        <v>0</v>
      </c>
      <c r="W240" s="44">
        <f>IF(AG240="2",I240,0)</f>
        <v>0</v>
      </c>
      <c r="X240" s="44">
        <f>IF(AG240="0",J240,0)</f>
        <v>0</v>
      </c>
      <c r="Y240" s="36" t="s">
        <v>145</v>
      </c>
      <c r="Z240" s="23">
        <f>IF(AD240=0,J240,0)</f>
        <v>0</v>
      </c>
      <c r="AA240" s="23">
        <f>IF(AD240=15,J240,0)</f>
        <v>0</v>
      </c>
      <c r="AB240" s="23">
        <f>IF(AD240=21,J240,0)</f>
        <v>0</v>
      </c>
      <c r="AD240" s="44">
        <v>21</v>
      </c>
      <c r="AE240" s="44">
        <f>G240*1</f>
        <v>0</v>
      </c>
      <c r="AF240" s="44">
        <f>G240*(1-1)</f>
        <v>0</v>
      </c>
      <c r="AG240" s="42" t="s">
        <v>7</v>
      </c>
      <c r="AM240" s="44">
        <f>F240*AE240</f>
        <v>0</v>
      </c>
      <c r="AN240" s="44">
        <f>F240*AF240</f>
        <v>0</v>
      </c>
      <c r="AO240" s="45" t="s">
        <v>689</v>
      </c>
      <c r="AP240" s="45" t="s">
        <v>713</v>
      </c>
      <c r="AQ240" s="36" t="s">
        <v>718</v>
      </c>
      <c r="AS240" s="44">
        <f>AM240+AN240</f>
        <v>0</v>
      </c>
      <c r="AT240" s="44">
        <f>G240/(100-AU240)*100</f>
        <v>0</v>
      </c>
      <c r="AU240" s="44">
        <v>0</v>
      </c>
      <c r="AV240" s="44">
        <f>L240</f>
        <v>0.0765</v>
      </c>
    </row>
    <row r="241" spans="4:7" ht="12.75">
      <c r="D241" s="17" t="s">
        <v>9</v>
      </c>
      <c r="F241" s="74">
        <v>3</v>
      </c>
      <c r="G241" s="24"/>
    </row>
    <row r="242" spans="1:48" ht="13.5">
      <c r="A242" s="7" t="s">
        <v>86</v>
      </c>
      <c r="B242" s="7" t="s">
        <v>145</v>
      </c>
      <c r="C242" s="7" t="s">
        <v>225</v>
      </c>
      <c r="D242" s="7" t="s">
        <v>490</v>
      </c>
      <c r="E242" s="7" t="s">
        <v>629</v>
      </c>
      <c r="F242" s="75">
        <v>0.322</v>
      </c>
      <c r="G242" s="30">
        <v>0</v>
      </c>
      <c r="H242" s="23">
        <f>F242*AE242</f>
        <v>0</v>
      </c>
      <c r="I242" s="23">
        <f>J242-H242</f>
        <v>0</v>
      </c>
      <c r="J242" s="23">
        <f>F242*G242</f>
        <v>0</v>
      </c>
      <c r="K242" s="23">
        <v>2.24</v>
      </c>
      <c r="L242" s="23">
        <f>F242*K242</f>
        <v>0.72128</v>
      </c>
      <c r="M242" s="42" t="s">
        <v>660</v>
      </c>
      <c r="P242" s="44">
        <f>IF(AG242="5",J242,0)</f>
        <v>0</v>
      </c>
      <c r="R242" s="44">
        <f>IF(AG242="1",H242,0)</f>
        <v>0</v>
      </c>
      <c r="S242" s="44">
        <f>IF(AG242="1",I242,0)</f>
        <v>0</v>
      </c>
      <c r="T242" s="44">
        <f>IF(AG242="7",H242,0)</f>
        <v>0</v>
      </c>
      <c r="U242" s="44">
        <f>IF(AG242="7",I242,0)</f>
        <v>0</v>
      </c>
      <c r="V242" s="44">
        <f>IF(AG242="2",H242,0)</f>
        <v>0</v>
      </c>
      <c r="W242" s="44">
        <f>IF(AG242="2",I242,0)</f>
        <v>0</v>
      </c>
      <c r="X242" s="44">
        <f>IF(AG242="0",J242,0)</f>
        <v>0</v>
      </c>
      <c r="Y242" s="36" t="s">
        <v>145</v>
      </c>
      <c r="Z242" s="23">
        <f>IF(AD242=0,J242,0)</f>
        <v>0</v>
      </c>
      <c r="AA242" s="23">
        <f>IF(AD242=15,J242,0)</f>
        <v>0</v>
      </c>
      <c r="AB242" s="23">
        <f>IF(AD242=21,J242,0)</f>
        <v>0</v>
      </c>
      <c r="AD242" s="44">
        <v>21</v>
      </c>
      <c r="AE242" s="44">
        <f>G242*1</f>
        <v>0</v>
      </c>
      <c r="AF242" s="44">
        <f>G242*(1-1)</f>
        <v>0</v>
      </c>
      <c r="AG242" s="42" t="s">
        <v>7</v>
      </c>
      <c r="AM242" s="44">
        <f>F242*AE242</f>
        <v>0</v>
      </c>
      <c r="AN242" s="44">
        <f>F242*AF242</f>
        <v>0</v>
      </c>
      <c r="AO242" s="45" t="s">
        <v>689</v>
      </c>
      <c r="AP242" s="45" t="s">
        <v>713</v>
      </c>
      <c r="AQ242" s="36" t="s">
        <v>718</v>
      </c>
      <c r="AS242" s="44">
        <f>AM242+AN242</f>
        <v>0</v>
      </c>
      <c r="AT242" s="44">
        <f>G242/(100-AU242)*100</f>
        <v>0</v>
      </c>
      <c r="AU242" s="44">
        <v>0</v>
      </c>
      <c r="AV242" s="44">
        <f>L242</f>
        <v>0.72128</v>
      </c>
    </row>
    <row r="243" spans="4:7" ht="12.75">
      <c r="D243" s="17" t="s">
        <v>491</v>
      </c>
      <c r="F243" s="74">
        <v>0.454</v>
      </c>
      <c r="G243" s="24"/>
    </row>
    <row r="244" spans="4:7" ht="12.75">
      <c r="D244" s="17" t="s">
        <v>492</v>
      </c>
      <c r="F244" s="74">
        <v>-0.132</v>
      </c>
      <c r="G244" s="24"/>
    </row>
    <row r="245" spans="1:48" ht="13.5">
      <c r="A245" s="7" t="s">
        <v>87</v>
      </c>
      <c r="B245" s="7" t="s">
        <v>145</v>
      </c>
      <c r="C245" s="7" t="s">
        <v>226</v>
      </c>
      <c r="D245" s="7" t="s">
        <v>493</v>
      </c>
      <c r="E245" s="7" t="s">
        <v>627</v>
      </c>
      <c r="F245" s="75">
        <v>6.725</v>
      </c>
      <c r="G245" s="30">
        <v>0</v>
      </c>
      <c r="H245" s="23">
        <f>F245*AE245</f>
        <v>0</v>
      </c>
      <c r="I245" s="23">
        <f>J245-H245</f>
        <v>0</v>
      </c>
      <c r="J245" s="23">
        <f>F245*G245</f>
        <v>0</v>
      </c>
      <c r="K245" s="23">
        <v>0.0148</v>
      </c>
      <c r="L245" s="23">
        <f>F245*K245</f>
        <v>0.09953</v>
      </c>
      <c r="M245" s="42" t="s">
        <v>660</v>
      </c>
      <c r="P245" s="44">
        <f>IF(AG245="5",J245,0)</f>
        <v>0</v>
      </c>
      <c r="R245" s="44">
        <f>IF(AG245="1",H245,0)</f>
        <v>0</v>
      </c>
      <c r="S245" s="44">
        <f>IF(AG245="1",I245,0)</f>
        <v>0</v>
      </c>
      <c r="T245" s="44">
        <f>IF(AG245="7",H245,0)</f>
        <v>0</v>
      </c>
      <c r="U245" s="44">
        <f>IF(AG245="7",I245,0)</f>
        <v>0</v>
      </c>
      <c r="V245" s="44">
        <f>IF(AG245="2",H245,0)</f>
        <v>0</v>
      </c>
      <c r="W245" s="44">
        <f>IF(AG245="2",I245,0)</f>
        <v>0</v>
      </c>
      <c r="X245" s="44">
        <f>IF(AG245="0",J245,0)</f>
        <v>0</v>
      </c>
      <c r="Y245" s="36" t="s">
        <v>145</v>
      </c>
      <c r="Z245" s="23">
        <f>IF(AD245=0,J245,0)</f>
        <v>0</v>
      </c>
      <c r="AA245" s="23">
        <f>IF(AD245=15,J245,0)</f>
        <v>0</v>
      </c>
      <c r="AB245" s="23">
        <f>IF(AD245=21,J245,0)</f>
        <v>0</v>
      </c>
      <c r="AD245" s="44">
        <v>21</v>
      </c>
      <c r="AE245" s="44">
        <f>G245*1</f>
        <v>0</v>
      </c>
      <c r="AF245" s="44">
        <f>G245*(1-1)</f>
        <v>0</v>
      </c>
      <c r="AG245" s="42" t="s">
        <v>7</v>
      </c>
      <c r="AM245" s="44">
        <f>F245*AE245</f>
        <v>0</v>
      </c>
      <c r="AN245" s="44">
        <f>F245*AF245</f>
        <v>0</v>
      </c>
      <c r="AO245" s="45" t="s">
        <v>689</v>
      </c>
      <c r="AP245" s="45" t="s">
        <v>713</v>
      </c>
      <c r="AQ245" s="36" t="s">
        <v>718</v>
      </c>
      <c r="AS245" s="44">
        <f>AM245+AN245</f>
        <v>0</v>
      </c>
      <c r="AT245" s="44">
        <f>G245/(100-AU245)*100</f>
        <v>0</v>
      </c>
      <c r="AU245" s="44">
        <v>0</v>
      </c>
      <c r="AV245" s="44">
        <f>L245</f>
        <v>0.09953</v>
      </c>
    </row>
    <row r="246" spans="4:7" ht="12.75">
      <c r="D246" s="17" t="s">
        <v>494</v>
      </c>
      <c r="F246" s="74">
        <v>4.52</v>
      </c>
      <c r="G246" s="24"/>
    </row>
    <row r="247" spans="4:7" ht="12.75">
      <c r="D247" s="17" t="s">
        <v>495</v>
      </c>
      <c r="F247" s="74">
        <v>2.205</v>
      </c>
      <c r="G247" s="24"/>
    </row>
    <row r="248" spans="1:37" ht="13.5">
      <c r="A248" s="5"/>
      <c r="B248" s="14" t="s">
        <v>145</v>
      </c>
      <c r="C248" s="14" t="s">
        <v>227</v>
      </c>
      <c r="D248" s="14" t="s">
        <v>496</v>
      </c>
      <c r="E248" s="5" t="s">
        <v>6</v>
      </c>
      <c r="F248" s="5" t="s">
        <v>6</v>
      </c>
      <c r="G248" s="28" t="s">
        <v>6</v>
      </c>
      <c r="H248" s="47">
        <f>SUM(H249:H249)</f>
        <v>0</v>
      </c>
      <c r="I248" s="47">
        <f>SUM(I249:I249)</f>
        <v>0</v>
      </c>
      <c r="J248" s="47">
        <f>H248+I248</f>
        <v>0</v>
      </c>
      <c r="K248" s="36"/>
      <c r="L248" s="47">
        <f>SUM(L249:L249)</f>
        <v>0.6866510000000001</v>
      </c>
      <c r="M248" s="36"/>
      <c r="Y248" s="36" t="s">
        <v>145</v>
      </c>
      <c r="AI248" s="47">
        <f>SUM(Z249:Z249)</f>
        <v>0</v>
      </c>
      <c r="AJ248" s="47">
        <f>SUM(AA249:AA249)</f>
        <v>0</v>
      </c>
      <c r="AK248" s="47">
        <f>SUM(AB249:AB249)</f>
        <v>0</v>
      </c>
    </row>
    <row r="249" spans="1:48" ht="13.5">
      <c r="A249" s="6" t="s">
        <v>88</v>
      </c>
      <c r="B249" s="6" t="s">
        <v>145</v>
      </c>
      <c r="C249" s="6" t="s">
        <v>228</v>
      </c>
      <c r="D249" s="6" t="s">
        <v>497</v>
      </c>
      <c r="E249" s="6" t="s">
        <v>627</v>
      </c>
      <c r="F249" s="73">
        <v>42.1</v>
      </c>
      <c r="G249" s="29">
        <v>0</v>
      </c>
      <c r="H249" s="22">
        <f>F249*AE249</f>
        <v>0</v>
      </c>
      <c r="I249" s="22">
        <f>J249-H249</f>
        <v>0</v>
      </c>
      <c r="J249" s="22">
        <f>F249*G249</f>
        <v>0</v>
      </c>
      <c r="K249" s="22">
        <v>0.01631</v>
      </c>
      <c r="L249" s="22">
        <f>F249*K249</f>
        <v>0.6866510000000001</v>
      </c>
      <c r="M249" s="41" t="s">
        <v>660</v>
      </c>
      <c r="P249" s="44">
        <f>IF(AG249="5",J249,0)</f>
        <v>0</v>
      </c>
      <c r="R249" s="44">
        <f>IF(AG249="1",H249,0)</f>
        <v>0</v>
      </c>
      <c r="S249" s="44">
        <f>IF(AG249="1",I249,0)</f>
        <v>0</v>
      </c>
      <c r="T249" s="44">
        <f>IF(AG249="7",H249,0)</f>
        <v>0</v>
      </c>
      <c r="U249" s="44">
        <f>IF(AG249="7",I249,0)</f>
        <v>0</v>
      </c>
      <c r="V249" s="44">
        <f>IF(AG249="2",H249,0)</f>
        <v>0</v>
      </c>
      <c r="W249" s="44">
        <f>IF(AG249="2",I249,0)</f>
        <v>0</v>
      </c>
      <c r="X249" s="44">
        <f>IF(AG249="0",J249,0)</f>
        <v>0</v>
      </c>
      <c r="Y249" s="36" t="s">
        <v>145</v>
      </c>
      <c r="Z249" s="22">
        <f>IF(AD249=0,J249,0)</f>
        <v>0</v>
      </c>
      <c r="AA249" s="22">
        <f>IF(AD249=15,J249,0)</f>
        <v>0</v>
      </c>
      <c r="AB249" s="22">
        <f>IF(AD249=21,J249,0)</f>
        <v>0</v>
      </c>
      <c r="AD249" s="44">
        <v>21</v>
      </c>
      <c r="AE249" s="44">
        <f>G249*0.687740244186433</f>
        <v>0</v>
      </c>
      <c r="AF249" s="44">
        <f>G249*(1-0.687740244186433)</f>
        <v>0</v>
      </c>
      <c r="AG249" s="41" t="s">
        <v>13</v>
      </c>
      <c r="AM249" s="44">
        <f>F249*AE249</f>
        <v>0</v>
      </c>
      <c r="AN249" s="44">
        <f>F249*AF249</f>
        <v>0</v>
      </c>
      <c r="AO249" s="45" t="s">
        <v>690</v>
      </c>
      <c r="AP249" s="45" t="s">
        <v>714</v>
      </c>
      <c r="AQ249" s="36" t="s">
        <v>718</v>
      </c>
      <c r="AS249" s="44">
        <f>AM249+AN249</f>
        <v>0</v>
      </c>
      <c r="AT249" s="44">
        <f>G249/(100-AU249)*100</f>
        <v>0</v>
      </c>
      <c r="AU249" s="44">
        <v>0</v>
      </c>
      <c r="AV249" s="44">
        <f>L249</f>
        <v>0.6866510000000001</v>
      </c>
    </row>
    <row r="250" spans="4:7" ht="12.75">
      <c r="D250" s="18" t="s">
        <v>498</v>
      </c>
      <c r="G250" s="24"/>
    </row>
    <row r="251" spans="4:7" ht="12.75">
      <c r="D251" s="17" t="s">
        <v>499</v>
      </c>
      <c r="F251" s="74">
        <v>42.1</v>
      </c>
      <c r="G251" s="24"/>
    </row>
    <row r="252" spans="1:37" ht="13.5">
      <c r="A252" s="5"/>
      <c r="B252" s="14" t="s">
        <v>145</v>
      </c>
      <c r="C252" s="14" t="s">
        <v>229</v>
      </c>
      <c r="D252" s="14" t="s">
        <v>500</v>
      </c>
      <c r="E252" s="5" t="s">
        <v>6</v>
      </c>
      <c r="F252" s="5" t="s">
        <v>6</v>
      </c>
      <c r="G252" s="28" t="s">
        <v>6</v>
      </c>
      <c r="H252" s="47">
        <f>SUM(H253:H253)</f>
        <v>0</v>
      </c>
      <c r="I252" s="47">
        <f>SUM(I253:I253)</f>
        <v>0</v>
      </c>
      <c r="J252" s="47">
        <f>H252+I252</f>
        <v>0</v>
      </c>
      <c r="K252" s="36"/>
      <c r="L252" s="47">
        <f>SUM(L253:L253)</f>
        <v>0.089475</v>
      </c>
      <c r="M252" s="36"/>
      <c r="Y252" s="36" t="s">
        <v>145</v>
      </c>
      <c r="AI252" s="47">
        <f>SUM(Z253:Z253)</f>
        <v>0</v>
      </c>
      <c r="AJ252" s="47">
        <f>SUM(AA253:AA253)</f>
        <v>0</v>
      </c>
      <c r="AK252" s="47">
        <f>SUM(AB253:AB253)</f>
        <v>0</v>
      </c>
    </row>
    <row r="253" spans="1:48" ht="13.5">
      <c r="A253" s="6" t="s">
        <v>89</v>
      </c>
      <c r="B253" s="6" t="s">
        <v>145</v>
      </c>
      <c r="C253" s="6" t="s">
        <v>230</v>
      </c>
      <c r="D253" s="6" t="s">
        <v>501</v>
      </c>
      <c r="E253" s="6" t="s">
        <v>628</v>
      </c>
      <c r="F253" s="73">
        <v>7.5</v>
      </c>
      <c r="G253" s="29">
        <v>0</v>
      </c>
      <c r="H253" s="22">
        <f>F253*AE253</f>
        <v>0</v>
      </c>
      <c r="I253" s="22">
        <f>J253-H253</f>
        <v>0</v>
      </c>
      <c r="J253" s="22">
        <f>F253*G253</f>
        <v>0</v>
      </c>
      <c r="K253" s="22">
        <v>0.01193</v>
      </c>
      <c r="L253" s="22">
        <f>F253*K253</f>
        <v>0.089475</v>
      </c>
      <c r="M253" s="41" t="s">
        <v>660</v>
      </c>
      <c r="P253" s="44">
        <f>IF(AG253="5",J253,0)</f>
        <v>0</v>
      </c>
      <c r="R253" s="44">
        <f>IF(AG253="1",H253,0)</f>
        <v>0</v>
      </c>
      <c r="S253" s="44">
        <f>IF(AG253="1",I253,0)</f>
        <v>0</v>
      </c>
      <c r="T253" s="44">
        <f>IF(AG253="7",H253,0)</f>
        <v>0</v>
      </c>
      <c r="U253" s="44">
        <f>IF(AG253="7",I253,0)</f>
        <v>0</v>
      </c>
      <c r="V253" s="44">
        <f>IF(AG253="2",H253,0)</f>
        <v>0</v>
      </c>
      <c r="W253" s="44">
        <f>IF(AG253="2",I253,0)</f>
        <v>0</v>
      </c>
      <c r="X253" s="44">
        <f>IF(AG253="0",J253,0)</f>
        <v>0</v>
      </c>
      <c r="Y253" s="36" t="s">
        <v>145</v>
      </c>
      <c r="Z253" s="22">
        <f>IF(AD253=0,J253,0)</f>
        <v>0</v>
      </c>
      <c r="AA253" s="22">
        <f>IF(AD253=15,J253,0)</f>
        <v>0</v>
      </c>
      <c r="AB253" s="22">
        <f>IF(AD253=21,J253,0)</f>
        <v>0</v>
      </c>
      <c r="AD253" s="44">
        <v>21</v>
      </c>
      <c r="AE253" s="44">
        <f>G253*0.0634827332843497</f>
        <v>0</v>
      </c>
      <c r="AF253" s="44">
        <f>G253*(1-0.0634827332843497)</f>
        <v>0</v>
      </c>
      <c r="AG253" s="41" t="s">
        <v>13</v>
      </c>
      <c r="AM253" s="44">
        <f>F253*AE253</f>
        <v>0</v>
      </c>
      <c r="AN253" s="44">
        <f>F253*AF253</f>
        <v>0</v>
      </c>
      <c r="AO253" s="45" t="s">
        <v>691</v>
      </c>
      <c r="AP253" s="45" t="s">
        <v>715</v>
      </c>
      <c r="AQ253" s="36" t="s">
        <v>718</v>
      </c>
      <c r="AS253" s="44">
        <f>AM253+AN253</f>
        <v>0</v>
      </c>
      <c r="AT253" s="44">
        <f>G253/(100-AU253)*100</f>
        <v>0</v>
      </c>
      <c r="AU253" s="44">
        <v>0</v>
      </c>
      <c r="AV253" s="44">
        <f>L253</f>
        <v>0.089475</v>
      </c>
    </row>
    <row r="254" spans="4:7" ht="12.75">
      <c r="D254" s="17" t="s">
        <v>502</v>
      </c>
      <c r="F254" s="74">
        <v>7.5</v>
      </c>
      <c r="G254" s="24"/>
    </row>
    <row r="255" spans="1:37" ht="13.5">
      <c r="A255" s="5"/>
      <c r="B255" s="14" t="s">
        <v>145</v>
      </c>
      <c r="C255" s="14" t="s">
        <v>93</v>
      </c>
      <c r="D255" s="14" t="s">
        <v>503</v>
      </c>
      <c r="E255" s="5" t="s">
        <v>6</v>
      </c>
      <c r="F255" s="5" t="s">
        <v>6</v>
      </c>
      <c r="G255" s="28" t="s">
        <v>6</v>
      </c>
      <c r="H255" s="47">
        <f>SUM(H256:H268)</f>
        <v>0</v>
      </c>
      <c r="I255" s="47">
        <f>SUM(I256:I268)</f>
        <v>0</v>
      </c>
      <c r="J255" s="47">
        <f>H255+I255</f>
        <v>0</v>
      </c>
      <c r="K255" s="36"/>
      <c r="L255" s="47">
        <f>SUM(L256:L268)</f>
        <v>0.2223589</v>
      </c>
      <c r="M255" s="36"/>
      <c r="Y255" s="36" t="s">
        <v>145</v>
      </c>
      <c r="AI255" s="47">
        <f>SUM(Z256:Z268)</f>
        <v>0</v>
      </c>
      <c r="AJ255" s="47">
        <f>SUM(AA256:AA268)</f>
        <v>0</v>
      </c>
      <c r="AK255" s="47">
        <f>SUM(AB256:AB268)</f>
        <v>0</v>
      </c>
    </row>
    <row r="256" spans="1:48" ht="13.5">
      <c r="A256" s="6" t="s">
        <v>90</v>
      </c>
      <c r="B256" s="6" t="s">
        <v>145</v>
      </c>
      <c r="C256" s="6" t="s">
        <v>231</v>
      </c>
      <c r="D256" s="6" t="s">
        <v>504</v>
      </c>
      <c r="E256" s="6" t="s">
        <v>631</v>
      </c>
      <c r="F256" s="73">
        <v>2</v>
      </c>
      <c r="G256" s="29">
        <v>0</v>
      </c>
      <c r="H256" s="22">
        <f>F256*AE256</f>
        <v>0</v>
      </c>
      <c r="I256" s="22">
        <f>J256-H256</f>
        <v>0</v>
      </c>
      <c r="J256" s="22">
        <f>F256*G256</f>
        <v>0</v>
      </c>
      <c r="K256" s="22">
        <v>0.06</v>
      </c>
      <c r="L256" s="22">
        <f>F256*K256</f>
        <v>0.12</v>
      </c>
      <c r="M256" s="41"/>
      <c r="P256" s="44">
        <f>IF(AG256="5",J256,0)</f>
        <v>0</v>
      </c>
      <c r="R256" s="44">
        <f>IF(AG256="1",H256,0)</f>
        <v>0</v>
      </c>
      <c r="S256" s="44">
        <f>IF(AG256="1",I256,0)</f>
        <v>0</v>
      </c>
      <c r="T256" s="44">
        <f>IF(AG256="7",H256,0)</f>
        <v>0</v>
      </c>
      <c r="U256" s="44">
        <f>IF(AG256="7",I256,0)</f>
        <v>0</v>
      </c>
      <c r="V256" s="44">
        <f>IF(AG256="2",H256,0)</f>
        <v>0</v>
      </c>
      <c r="W256" s="44">
        <f>IF(AG256="2",I256,0)</f>
        <v>0</v>
      </c>
      <c r="X256" s="44">
        <f>IF(AG256="0",J256,0)</f>
        <v>0</v>
      </c>
      <c r="Y256" s="36" t="s">
        <v>145</v>
      </c>
      <c r="Z256" s="22">
        <f>IF(AD256=0,J256,0)</f>
        <v>0</v>
      </c>
      <c r="AA256" s="22">
        <f>IF(AD256=15,J256,0)</f>
        <v>0</v>
      </c>
      <c r="AB256" s="22">
        <f>IF(AD256=21,J256,0)</f>
        <v>0</v>
      </c>
      <c r="AD256" s="44">
        <v>21</v>
      </c>
      <c r="AE256" s="44">
        <f>G256*0</f>
        <v>0</v>
      </c>
      <c r="AF256" s="44">
        <f>G256*(1-0)</f>
        <v>0</v>
      </c>
      <c r="AG256" s="41" t="s">
        <v>7</v>
      </c>
      <c r="AM256" s="44">
        <f>F256*AE256</f>
        <v>0</v>
      </c>
      <c r="AN256" s="44">
        <f>F256*AF256</f>
        <v>0</v>
      </c>
      <c r="AO256" s="45" t="s">
        <v>692</v>
      </c>
      <c r="AP256" s="45" t="s">
        <v>716</v>
      </c>
      <c r="AQ256" s="36" t="s">
        <v>718</v>
      </c>
      <c r="AS256" s="44">
        <f>AM256+AN256</f>
        <v>0</v>
      </c>
      <c r="AT256" s="44">
        <f>G256/(100-AU256)*100</f>
        <v>0</v>
      </c>
      <c r="AU256" s="44">
        <v>0</v>
      </c>
      <c r="AV256" s="44">
        <f>L256</f>
        <v>0.12</v>
      </c>
    </row>
    <row r="257" spans="4:7" ht="12.75">
      <c r="D257" s="17" t="s">
        <v>8</v>
      </c>
      <c r="F257" s="74">
        <v>2</v>
      </c>
      <c r="G257" s="24"/>
    </row>
    <row r="258" spans="1:48" ht="13.5">
      <c r="A258" s="6" t="s">
        <v>91</v>
      </c>
      <c r="B258" s="6" t="s">
        <v>145</v>
      </c>
      <c r="C258" s="6" t="s">
        <v>232</v>
      </c>
      <c r="D258" s="6" t="s">
        <v>505</v>
      </c>
      <c r="E258" s="6" t="s">
        <v>631</v>
      </c>
      <c r="F258" s="73">
        <v>2</v>
      </c>
      <c r="G258" s="29">
        <v>0</v>
      </c>
      <c r="H258" s="22">
        <f>F258*AE258</f>
        <v>0</v>
      </c>
      <c r="I258" s="22">
        <f>J258-H258</f>
        <v>0</v>
      </c>
      <c r="J258" s="22">
        <f>F258*G258</f>
        <v>0</v>
      </c>
      <c r="K258" s="22">
        <v>0.01</v>
      </c>
      <c r="L258" s="22">
        <f>F258*K258</f>
        <v>0.02</v>
      </c>
      <c r="M258" s="41"/>
      <c r="P258" s="44">
        <f>IF(AG258="5",J258,0)</f>
        <v>0</v>
      </c>
      <c r="R258" s="44">
        <f>IF(AG258="1",H258,0)</f>
        <v>0</v>
      </c>
      <c r="S258" s="44">
        <f>IF(AG258="1",I258,0)</f>
        <v>0</v>
      </c>
      <c r="T258" s="44">
        <f>IF(AG258="7",H258,0)</f>
        <v>0</v>
      </c>
      <c r="U258" s="44">
        <f>IF(AG258="7",I258,0)</f>
        <v>0</v>
      </c>
      <c r="V258" s="44">
        <f>IF(AG258="2",H258,0)</f>
        <v>0</v>
      </c>
      <c r="W258" s="44">
        <f>IF(AG258="2",I258,0)</f>
        <v>0</v>
      </c>
      <c r="X258" s="44">
        <f>IF(AG258="0",J258,0)</f>
        <v>0</v>
      </c>
      <c r="Y258" s="36" t="s">
        <v>145</v>
      </c>
      <c r="Z258" s="22">
        <f>IF(AD258=0,J258,0)</f>
        <v>0</v>
      </c>
      <c r="AA258" s="22">
        <f>IF(AD258=15,J258,0)</f>
        <v>0</v>
      </c>
      <c r="AB258" s="22">
        <f>IF(AD258=21,J258,0)</f>
        <v>0</v>
      </c>
      <c r="AD258" s="44">
        <v>21</v>
      </c>
      <c r="AE258" s="44">
        <f>G258*0</f>
        <v>0</v>
      </c>
      <c r="AF258" s="44">
        <f>G258*(1-0)</f>
        <v>0</v>
      </c>
      <c r="AG258" s="41" t="s">
        <v>7</v>
      </c>
      <c r="AM258" s="44">
        <f>F258*AE258</f>
        <v>0</v>
      </c>
      <c r="AN258" s="44">
        <f>F258*AF258</f>
        <v>0</v>
      </c>
      <c r="AO258" s="45" t="s">
        <v>692</v>
      </c>
      <c r="AP258" s="45" t="s">
        <v>716</v>
      </c>
      <c r="AQ258" s="36" t="s">
        <v>718</v>
      </c>
      <c r="AS258" s="44">
        <f>AM258+AN258</f>
        <v>0</v>
      </c>
      <c r="AT258" s="44">
        <f>G258/(100-AU258)*100</f>
        <v>0</v>
      </c>
      <c r="AU258" s="44">
        <v>0</v>
      </c>
      <c r="AV258" s="44">
        <f>L258</f>
        <v>0.02</v>
      </c>
    </row>
    <row r="259" spans="4:7" ht="12.75">
      <c r="D259" s="17" t="s">
        <v>8</v>
      </c>
      <c r="F259" s="74">
        <v>2</v>
      </c>
      <c r="G259" s="24"/>
    </row>
    <row r="260" spans="1:48" ht="13.5">
      <c r="A260" s="6" t="s">
        <v>92</v>
      </c>
      <c r="B260" s="6" t="s">
        <v>145</v>
      </c>
      <c r="C260" s="6" t="s">
        <v>233</v>
      </c>
      <c r="D260" s="6" t="s">
        <v>506</v>
      </c>
      <c r="E260" s="6" t="s">
        <v>631</v>
      </c>
      <c r="F260" s="73">
        <v>2</v>
      </c>
      <c r="G260" s="29">
        <v>0</v>
      </c>
      <c r="H260" s="22">
        <f>F260*AE260</f>
        <v>0</v>
      </c>
      <c r="I260" s="22">
        <f>J260-H260</f>
        <v>0</v>
      </c>
      <c r="J260" s="22">
        <f>F260*G260</f>
        <v>0</v>
      </c>
      <c r="K260" s="22">
        <v>0.00622</v>
      </c>
      <c r="L260" s="22">
        <f>F260*K260</f>
        <v>0.01244</v>
      </c>
      <c r="M260" s="41"/>
      <c r="P260" s="44">
        <f>IF(AG260="5",J260,0)</f>
        <v>0</v>
      </c>
      <c r="R260" s="44">
        <f>IF(AG260="1",H260,0)</f>
        <v>0</v>
      </c>
      <c r="S260" s="44">
        <f>IF(AG260="1",I260,0)</f>
        <v>0</v>
      </c>
      <c r="T260" s="44">
        <f>IF(AG260="7",H260,0)</f>
        <v>0</v>
      </c>
      <c r="U260" s="44">
        <f>IF(AG260="7",I260,0)</f>
        <v>0</v>
      </c>
      <c r="V260" s="44">
        <f>IF(AG260="2",H260,0)</f>
        <v>0</v>
      </c>
      <c r="W260" s="44">
        <f>IF(AG260="2",I260,0)</f>
        <v>0</v>
      </c>
      <c r="X260" s="44">
        <f>IF(AG260="0",J260,0)</f>
        <v>0</v>
      </c>
      <c r="Y260" s="36" t="s">
        <v>145</v>
      </c>
      <c r="Z260" s="22">
        <f>IF(AD260=0,J260,0)</f>
        <v>0</v>
      </c>
      <c r="AA260" s="22">
        <f>IF(AD260=15,J260,0)</f>
        <v>0</v>
      </c>
      <c r="AB260" s="22">
        <f>IF(AD260=21,J260,0)</f>
        <v>0</v>
      </c>
      <c r="AD260" s="44">
        <v>21</v>
      </c>
      <c r="AE260" s="44">
        <f>G260*0</f>
        <v>0</v>
      </c>
      <c r="AF260" s="44">
        <f>G260*(1-0)</f>
        <v>0</v>
      </c>
      <c r="AG260" s="41" t="s">
        <v>7</v>
      </c>
      <c r="AM260" s="44">
        <f>F260*AE260</f>
        <v>0</v>
      </c>
      <c r="AN260" s="44">
        <f>F260*AF260</f>
        <v>0</v>
      </c>
      <c r="AO260" s="45" t="s">
        <v>692</v>
      </c>
      <c r="AP260" s="45" t="s">
        <v>716</v>
      </c>
      <c r="AQ260" s="36" t="s">
        <v>718</v>
      </c>
      <c r="AS260" s="44">
        <f>AM260+AN260</f>
        <v>0</v>
      </c>
      <c r="AT260" s="44">
        <f>G260/(100-AU260)*100</f>
        <v>0</v>
      </c>
      <c r="AU260" s="44">
        <v>0</v>
      </c>
      <c r="AV260" s="44">
        <f>L260</f>
        <v>0.01244</v>
      </c>
    </row>
    <row r="261" spans="4:7" ht="12.75">
      <c r="D261" s="17" t="s">
        <v>8</v>
      </c>
      <c r="F261" s="74">
        <v>2</v>
      </c>
      <c r="G261" s="24"/>
    </row>
    <row r="262" spans="1:48" ht="13.5">
      <c r="A262" s="6" t="s">
        <v>93</v>
      </c>
      <c r="B262" s="6" t="s">
        <v>145</v>
      </c>
      <c r="C262" s="6" t="s">
        <v>234</v>
      </c>
      <c r="D262" s="6" t="s">
        <v>507</v>
      </c>
      <c r="E262" s="6" t="s">
        <v>631</v>
      </c>
      <c r="F262" s="73">
        <v>2</v>
      </c>
      <c r="G262" s="29">
        <v>0</v>
      </c>
      <c r="H262" s="22">
        <f>F262*AE262</f>
        <v>0</v>
      </c>
      <c r="I262" s="22">
        <f>J262-H262</f>
        <v>0</v>
      </c>
      <c r="J262" s="22">
        <f>F262*G262</f>
        <v>0</v>
      </c>
      <c r="K262" s="22">
        <v>0</v>
      </c>
      <c r="L262" s="22">
        <f>F262*K262</f>
        <v>0</v>
      </c>
      <c r="M262" s="41"/>
      <c r="P262" s="44">
        <f>IF(AG262="5",J262,0)</f>
        <v>0</v>
      </c>
      <c r="R262" s="44">
        <f>IF(AG262="1",H262,0)</f>
        <v>0</v>
      </c>
      <c r="S262" s="44">
        <f>IF(AG262="1",I262,0)</f>
        <v>0</v>
      </c>
      <c r="T262" s="44">
        <f>IF(AG262="7",H262,0)</f>
        <v>0</v>
      </c>
      <c r="U262" s="44">
        <f>IF(AG262="7",I262,0)</f>
        <v>0</v>
      </c>
      <c r="V262" s="44">
        <f>IF(AG262="2",H262,0)</f>
        <v>0</v>
      </c>
      <c r="W262" s="44">
        <f>IF(AG262="2",I262,0)</f>
        <v>0</v>
      </c>
      <c r="X262" s="44">
        <f>IF(AG262="0",J262,0)</f>
        <v>0</v>
      </c>
      <c r="Y262" s="36" t="s">
        <v>145</v>
      </c>
      <c r="Z262" s="22">
        <f>IF(AD262=0,J262,0)</f>
        <v>0</v>
      </c>
      <c r="AA262" s="22">
        <f>IF(AD262=15,J262,0)</f>
        <v>0</v>
      </c>
      <c r="AB262" s="22">
        <f>IF(AD262=21,J262,0)</f>
        <v>0</v>
      </c>
      <c r="AD262" s="44">
        <v>21</v>
      </c>
      <c r="AE262" s="44">
        <f>G262*0</f>
        <v>0</v>
      </c>
      <c r="AF262" s="44">
        <f>G262*(1-0)</f>
        <v>0</v>
      </c>
      <c r="AG262" s="41" t="s">
        <v>7</v>
      </c>
      <c r="AM262" s="44">
        <f>F262*AE262</f>
        <v>0</v>
      </c>
      <c r="AN262" s="44">
        <f>F262*AF262</f>
        <v>0</v>
      </c>
      <c r="AO262" s="45" t="s">
        <v>692</v>
      </c>
      <c r="AP262" s="45" t="s">
        <v>716</v>
      </c>
      <c r="AQ262" s="36" t="s">
        <v>718</v>
      </c>
      <c r="AS262" s="44">
        <f>AM262+AN262</f>
        <v>0</v>
      </c>
      <c r="AT262" s="44">
        <f>G262/(100-AU262)*100</f>
        <v>0</v>
      </c>
      <c r="AU262" s="44">
        <v>0</v>
      </c>
      <c r="AV262" s="44">
        <f>L262</f>
        <v>0</v>
      </c>
    </row>
    <row r="263" spans="4:7" ht="12.75">
      <c r="D263" s="17" t="s">
        <v>8</v>
      </c>
      <c r="F263" s="74">
        <v>2</v>
      </c>
      <c r="G263" s="24"/>
    </row>
    <row r="264" spans="1:48" ht="13.5">
      <c r="A264" s="6" t="s">
        <v>94</v>
      </c>
      <c r="B264" s="6" t="s">
        <v>145</v>
      </c>
      <c r="C264" s="6" t="s">
        <v>235</v>
      </c>
      <c r="D264" s="6" t="s">
        <v>508</v>
      </c>
      <c r="E264" s="6" t="s">
        <v>631</v>
      </c>
      <c r="F264" s="73">
        <v>2</v>
      </c>
      <c r="G264" s="29">
        <v>0</v>
      </c>
      <c r="H264" s="22">
        <f>F264*AE264</f>
        <v>0</v>
      </c>
      <c r="I264" s="22">
        <f>J264-H264</f>
        <v>0</v>
      </c>
      <c r="J264" s="22">
        <f>F264*G264</f>
        <v>0</v>
      </c>
      <c r="K264" s="22">
        <v>0.03</v>
      </c>
      <c r="L264" s="22">
        <f>F264*K264</f>
        <v>0.06</v>
      </c>
      <c r="M264" s="41"/>
      <c r="P264" s="44">
        <f>IF(AG264="5",J264,0)</f>
        <v>0</v>
      </c>
      <c r="R264" s="44">
        <f>IF(AG264="1",H264,0)</f>
        <v>0</v>
      </c>
      <c r="S264" s="44">
        <f>IF(AG264="1",I264,0)</f>
        <v>0</v>
      </c>
      <c r="T264" s="44">
        <f>IF(AG264="7",H264,0)</f>
        <v>0</v>
      </c>
      <c r="U264" s="44">
        <f>IF(AG264="7",I264,0)</f>
        <v>0</v>
      </c>
      <c r="V264" s="44">
        <f>IF(AG264="2",H264,0)</f>
        <v>0</v>
      </c>
      <c r="W264" s="44">
        <f>IF(AG264="2",I264,0)</f>
        <v>0</v>
      </c>
      <c r="X264" s="44">
        <f>IF(AG264="0",J264,0)</f>
        <v>0</v>
      </c>
      <c r="Y264" s="36" t="s">
        <v>145</v>
      </c>
      <c r="Z264" s="22">
        <f>IF(AD264=0,J264,0)</f>
        <v>0</v>
      </c>
      <c r="AA264" s="22">
        <f>IF(AD264=15,J264,0)</f>
        <v>0</v>
      </c>
      <c r="AB264" s="22">
        <f>IF(AD264=21,J264,0)</f>
        <v>0</v>
      </c>
      <c r="AD264" s="44">
        <v>21</v>
      </c>
      <c r="AE264" s="44">
        <f>G264*0</f>
        <v>0</v>
      </c>
      <c r="AF264" s="44">
        <f>G264*(1-0)</f>
        <v>0</v>
      </c>
      <c r="AG264" s="41" t="s">
        <v>7</v>
      </c>
      <c r="AM264" s="44">
        <f>F264*AE264</f>
        <v>0</v>
      </c>
      <c r="AN264" s="44">
        <f>F264*AF264</f>
        <v>0</v>
      </c>
      <c r="AO264" s="45" t="s">
        <v>692</v>
      </c>
      <c r="AP264" s="45" t="s">
        <v>716</v>
      </c>
      <c r="AQ264" s="36" t="s">
        <v>718</v>
      </c>
      <c r="AS264" s="44">
        <f>AM264+AN264</f>
        <v>0</v>
      </c>
      <c r="AT264" s="44">
        <f>G264/(100-AU264)*100</f>
        <v>0</v>
      </c>
      <c r="AU264" s="44">
        <v>0</v>
      </c>
      <c r="AV264" s="44">
        <f>L264</f>
        <v>0.06</v>
      </c>
    </row>
    <row r="265" spans="4:7" ht="12.75">
      <c r="D265" s="17" t="s">
        <v>8</v>
      </c>
      <c r="F265" s="74">
        <v>2</v>
      </c>
      <c r="G265" s="24"/>
    </row>
    <row r="266" spans="1:48" ht="13.5">
      <c r="A266" s="6" t="s">
        <v>95</v>
      </c>
      <c r="B266" s="6" t="s">
        <v>145</v>
      </c>
      <c r="C266" s="6" t="s">
        <v>236</v>
      </c>
      <c r="D266" s="6" t="s">
        <v>509</v>
      </c>
      <c r="E266" s="6" t="s">
        <v>628</v>
      </c>
      <c r="F266" s="73">
        <v>3</v>
      </c>
      <c r="G266" s="29">
        <v>0</v>
      </c>
      <c r="H266" s="22">
        <f>F266*AE266</f>
        <v>0</v>
      </c>
      <c r="I266" s="22">
        <f>J266-H266</f>
        <v>0</v>
      </c>
      <c r="J266" s="22">
        <f>F266*G266</f>
        <v>0</v>
      </c>
      <c r="K266" s="22">
        <v>0</v>
      </c>
      <c r="L266" s="22">
        <f>F266*K266</f>
        <v>0</v>
      </c>
      <c r="M266" s="41" t="s">
        <v>660</v>
      </c>
      <c r="P266" s="44">
        <f>IF(AG266="5",J266,0)</f>
        <v>0</v>
      </c>
      <c r="R266" s="44">
        <f>IF(AG266="1",H266,0)</f>
        <v>0</v>
      </c>
      <c r="S266" s="44">
        <f>IF(AG266="1",I266,0)</f>
        <v>0</v>
      </c>
      <c r="T266" s="44">
        <f>IF(AG266="7",H266,0)</f>
        <v>0</v>
      </c>
      <c r="U266" s="44">
        <f>IF(AG266="7",I266,0)</f>
        <v>0</v>
      </c>
      <c r="V266" s="44">
        <f>IF(AG266="2",H266,0)</f>
        <v>0</v>
      </c>
      <c r="W266" s="44">
        <f>IF(AG266="2",I266,0)</f>
        <v>0</v>
      </c>
      <c r="X266" s="44">
        <f>IF(AG266="0",J266,0)</f>
        <v>0</v>
      </c>
      <c r="Y266" s="36" t="s">
        <v>145</v>
      </c>
      <c r="Z266" s="22">
        <f>IF(AD266=0,J266,0)</f>
        <v>0</v>
      </c>
      <c r="AA266" s="22">
        <f>IF(AD266=15,J266,0)</f>
        <v>0</v>
      </c>
      <c r="AB266" s="22">
        <f>IF(AD266=21,J266,0)</f>
        <v>0</v>
      </c>
      <c r="AD266" s="44">
        <v>21</v>
      </c>
      <c r="AE266" s="44">
        <f>G266*0.00541666666666667</f>
        <v>0</v>
      </c>
      <c r="AF266" s="44">
        <f>G266*(1-0.00541666666666667)</f>
        <v>0</v>
      </c>
      <c r="AG266" s="41" t="s">
        <v>7</v>
      </c>
      <c r="AM266" s="44">
        <f>F266*AE266</f>
        <v>0</v>
      </c>
      <c r="AN266" s="44">
        <f>F266*AF266</f>
        <v>0</v>
      </c>
      <c r="AO266" s="45" t="s">
        <v>692</v>
      </c>
      <c r="AP266" s="45" t="s">
        <v>716</v>
      </c>
      <c r="AQ266" s="36" t="s">
        <v>718</v>
      </c>
      <c r="AS266" s="44">
        <f>AM266+AN266</f>
        <v>0</v>
      </c>
      <c r="AT266" s="44">
        <f>G266/(100-AU266)*100</f>
        <v>0</v>
      </c>
      <c r="AU266" s="44">
        <v>0</v>
      </c>
      <c r="AV266" s="44">
        <f>L266</f>
        <v>0</v>
      </c>
    </row>
    <row r="267" spans="4:7" ht="12.75">
      <c r="D267" s="17" t="s">
        <v>9</v>
      </c>
      <c r="F267" s="74">
        <v>3</v>
      </c>
      <c r="G267" s="24"/>
    </row>
    <row r="268" spans="1:48" ht="13.5">
      <c r="A268" s="7" t="s">
        <v>96</v>
      </c>
      <c r="B268" s="7" t="s">
        <v>145</v>
      </c>
      <c r="C268" s="7" t="s">
        <v>237</v>
      </c>
      <c r="D268" s="7" t="s">
        <v>510</v>
      </c>
      <c r="E268" s="7" t="s">
        <v>631</v>
      </c>
      <c r="F268" s="75">
        <v>3.09</v>
      </c>
      <c r="G268" s="30">
        <v>0</v>
      </c>
      <c r="H268" s="23">
        <f>F268*AE268</f>
        <v>0</v>
      </c>
      <c r="I268" s="23">
        <f>J268-H268</f>
        <v>0</v>
      </c>
      <c r="J268" s="23">
        <f>F268*G268</f>
        <v>0</v>
      </c>
      <c r="K268" s="23">
        <v>0.00321</v>
      </c>
      <c r="L268" s="23">
        <f>F268*K268</f>
        <v>0.0099189</v>
      </c>
      <c r="M268" s="42" t="s">
        <v>660</v>
      </c>
      <c r="P268" s="44">
        <f>IF(AG268="5",J268,0)</f>
        <v>0</v>
      </c>
      <c r="R268" s="44">
        <f>IF(AG268="1",H268,0)</f>
        <v>0</v>
      </c>
      <c r="S268" s="44">
        <f>IF(AG268="1",I268,0)</f>
        <v>0</v>
      </c>
      <c r="T268" s="44">
        <f>IF(AG268="7",H268,0)</f>
        <v>0</v>
      </c>
      <c r="U268" s="44">
        <f>IF(AG268="7",I268,0)</f>
        <v>0</v>
      </c>
      <c r="V268" s="44">
        <f>IF(AG268="2",H268,0)</f>
        <v>0</v>
      </c>
      <c r="W268" s="44">
        <f>IF(AG268="2",I268,0)</f>
        <v>0</v>
      </c>
      <c r="X268" s="44">
        <f>IF(AG268="0",J268,0)</f>
        <v>0</v>
      </c>
      <c r="Y268" s="36" t="s">
        <v>145</v>
      </c>
      <c r="Z268" s="23">
        <f>IF(AD268=0,J268,0)</f>
        <v>0</v>
      </c>
      <c r="AA268" s="23">
        <f>IF(AD268=15,J268,0)</f>
        <v>0</v>
      </c>
      <c r="AB268" s="23">
        <f>IF(AD268=21,J268,0)</f>
        <v>0</v>
      </c>
      <c r="AD268" s="44">
        <v>21</v>
      </c>
      <c r="AE268" s="44">
        <f>G268*1</f>
        <v>0</v>
      </c>
      <c r="AF268" s="44">
        <f>G268*(1-1)</f>
        <v>0</v>
      </c>
      <c r="AG268" s="42" t="s">
        <v>7</v>
      </c>
      <c r="AM268" s="44">
        <f>F268*AE268</f>
        <v>0</v>
      </c>
      <c r="AN268" s="44">
        <f>F268*AF268</f>
        <v>0</v>
      </c>
      <c r="AO268" s="45" t="s">
        <v>692</v>
      </c>
      <c r="AP268" s="45" t="s">
        <v>716</v>
      </c>
      <c r="AQ268" s="36" t="s">
        <v>718</v>
      </c>
      <c r="AS268" s="44">
        <f>AM268+AN268</f>
        <v>0</v>
      </c>
      <c r="AT268" s="44">
        <f>G268/(100-AU268)*100</f>
        <v>0</v>
      </c>
      <c r="AU268" s="44">
        <v>0</v>
      </c>
      <c r="AV268" s="44">
        <f>L268</f>
        <v>0.0099189</v>
      </c>
    </row>
    <row r="269" spans="4:7" ht="12.75">
      <c r="D269" s="17" t="s">
        <v>511</v>
      </c>
      <c r="F269" s="74">
        <v>3.09</v>
      </c>
      <c r="G269" s="24"/>
    </row>
    <row r="270" spans="1:37" ht="13.5">
      <c r="A270" s="5"/>
      <c r="B270" s="14" t="s">
        <v>145</v>
      </c>
      <c r="C270" s="14" t="s">
        <v>95</v>
      </c>
      <c r="D270" s="14" t="s">
        <v>512</v>
      </c>
      <c r="E270" s="5" t="s">
        <v>6</v>
      </c>
      <c r="F270" s="5" t="s">
        <v>6</v>
      </c>
      <c r="G270" s="28" t="s">
        <v>6</v>
      </c>
      <c r="H270" s="47">
        <f>SUM(H271:H281)</f>
        <v>0</v>
      </c>
      <c r="I270" s="47">
        <f>SUM(I271:I281)</f>
        <v>0</v>
      </c>
      <c r="J270" s="47">
        <f>H270+I270</f>
        <v>0</v>
      </c>
      <c r="K270" s="36"/>
      <c r="L270" s="47">
        <f>SUM(L271:L281)</f>
        <v>2.54095</v>
      </c>
      <c r="M270" s="36"/>
      <c r="Y270" s="36" t="s">
        <v>145</v>
      </c>
      <c r="AI270" s="47">
        <f>SUM(Z271:Z281)</f>
        <v>0</v>
      </c>
      <c r="AJ270" s="47">
        <f>SUM(AA271:AA281)</f>
        <v>0</v>
      </c>
      <c r="AK270" s="47">
        <f>SUM(AB271:AB281)</f>
        <v>0</v>
      </c>
    </row>
    <row r="271" spans="1:48" ht="13.5">
      <c r="A271" s="6" t="s">
        <v>97</v>
      </c>
      <c r="B271" s="6" t="s">
        <v>145</v>
      </c>
      <c r="C271" s="6" t="s">
        <v>238</v>
      </c>
      <c r="D271" s="6" t="s">
        <v>513</v>
      </c>
      <c r="E271" s="6" t="s">
        <v>631</v>
      </c>
      <c r="F271" s="73">
        <v>1</v>
      </c>
      <c r="G271" s="29">
        <v>0</v>
      </c>
      <c r="H271" s="22">
        <f>F271*AE271</f>
        <v>0</v>
      </c>
      <c r="I271" s="22">
        <f>J271-H271</f>
        <v>0</v>
      </c>
      <c r="J271" s="22">
        <f>F271*G271</f>
        <v>0</v>
      </c>
      <c r="K271" s="22">
        <v>0.3159</v>
      </c>
      <c r="L271" s="22">
        <f>F271*K271</f>
        <v>0.3159</v>
      </c>
      <c r="M271" s="41" t="s">
        <v>660</v>
      </c>
      <c r="P271" s="44">
        <f>IF(AG271="5",J271,0)</f>
        <v>0</v>
      </c>
      <c r="R271" s="44">
        <f>IF(AG271="1",H271,0)</f>
        <v>0</v>
      </c>
      <c r="S271" s="44">
        <f>IF(AG271="1",I271,0)</f>
        <v>0</v>
      </c>
      <c r="T271" s="44">
        <f>IF(AG271="7",H271,0)</f>
        <v>0</v>
      </c>
      <c r="U271" s="44">
        <f>IF(AG271="7",I271,0)</f>
        <v>0</v>
      </c>
      <c r="V271" s="44">
        <f>IF(AG271="2",H271,0)</f>
        <v>0</v>
      </c>
      <c r="W271" s="44">
        <f>IF(AG271="2",I271,0)</f>
        <v>0</v>
      </c>
      <c r="X271" s="44">
        <f>IF(AG271="0",J271,0)</f>
        <v>0</v>
      </c>
      <c r="Y271" s="36" t="s">
        <v>145</v>
      </c>
      <c r="Z271" s="22">
        <f>IF(AD271=0,J271,0)</f>
        <v>0</v>
      </c>
      <c r="AA271" s="22">
        <f>IF(AD271=15,J271,0)</f>
        <v>0</v>
      </c>
      <c r="AB271" s="22">
        <f>IF(AD271=21,J271,0)</f>
        <v>0</v>
      </c>
      <c r="AD271" s="44">
        <v>21</v>
      </c>
      <c r="AE271" s="44">
        <f>G271*0.518989361702128</f>
        <v>0</v>
      </c>
      <c r="AF271" s="44">
        <f>G271*(1-0.518989361702128)</f>
        <v>0</v>
      </c>
      <c r="AG271" s="41" t="s">
        <v>7</v>
      </c>
      <c r="AM271" s="44">
        <f>F271*AE271</f>
        <v>0</v>
      </c>
      <c r="AN271" s="44">
        <f>F271*AF271</f>
        <v>0</v>
      </c>
      <c r="AO271" s="45" t="s">
        <v>693</v>
      </c>
      <c r="AP271" s="45" t="s">
        <v>716</v>
      </c>
      <c r="AQ271" s="36" t="s">
        <v>718</v>
      </c>
      <c r="AS271" s="44">
        <f>AM271+AN271</f>
        <v>0</v>
      </c>
      <c r="AT271" s="44">
        <f>G271/(100-AU271)*100</f>
        <v>0</v>
      </c>
      <c r="AU271" s="44">
        <v>0</v>
      </c>
      <c r="AV271" s="44">
        <f>L271</f>
        <v>0.3159</v>
      </c>
    </row>
    <row r="272" spans="4:7" ht="12.75">
      <c r="D272" s="17" t="s">
        <v>514</v>
      </c>
      <c r="F272" s="74">
        <v>1</v>
      </c>
      <c r="G272" s="24"/>
    </row>
    <row r="273" spans="1:48" ht="13.5">
      <c r="A273" s="6" t="s">
        <v>98</v>
      </c>
      <c r="B273" s="6" t="s">
        <v>145</v>
      </c>
      <c r="C273" s="6" t="s">
        <v>239</v>
      </c>
      <c r="D273" s="6" t="s">
        <v>515</v>
      </c>
      <c r="E273" s="6" t="s">
        <v>631</v>
      </c>
      <c r="F273" s="73">
        <v>1</v>
      </c>
      <c r="G273" s="29">
        <v>0</v>
      </c>
      <c r="H273" s="22">
        <f>F273*AE273</f>
        <v>0</v>
      </c>
      <c r="I273" s="22">
        <f>J273-H273</f>
        <v>0</v>
      </c>
      <c r="J273" s="22">
        <f>F273*G273</f>
        <v>0</v>
      </c>
      <c r="K273" s="22">
        <v>0.2647</v>
      </c>
      <c r="L273" s="22">
        <f>F273*K273</f>
        <v>0.2647</v>
      </c>
      <c r="M273" s="41" t="s">
        <v>660</v>
      </c>
      <c r="P273" s="44">
        <f>IF(AG273="5",J273,0)</f>
        <v>0</v>
      </c>
      <c r="R273" s="44">
        <f>IF(AG273="1",H273,0)</f>
        <v>0</v>
      </c>
      <c r="S273" s="44">
        <f>IF(AG273="1",I273,0)</f>
        <v>0</v>
      </c>
      <c r="T273" s="44">
        <f>IF(AG273="7",H273,0)</f>
        <v>0</v>
      </c>
      <c r="U273" s="44">
        <f>IF(AG273="7",I273,0)</f>
        <v>0</v>
      </c>
      <c r="V273" s="44">
        <f>IF(AG273="2",H273,0)</f>
        <v>0</v>
      </c>
      <c r="W273" s="44">
        <f>IF(AG273="2",I273,0)</f>
        <v>0</v>
      </c>
      <c r="X273" s="44">
        <f>IF(AG273="0",J273,0)</f>
        <v>0</v>
      </c>
      <c r="Y273" s="36" t="s">
        <v>145</v>
      </c>
      <c r="Z273" s="22">
        <f>IF(AD273=0,J273,0)</f>
        <v>0</v>
      </c>
      <c r="AA273" s="22">
        <f>IF(AD273=15,J273,0)</f>
        <v>0</v>
      </c>
      <c r="AB273" s="22">
        <f>IF(AD273=21,J273,0)</f>
        <v>0</v>
      </c>
      <c r="AD273" s="44">
        <v>21</v>
      </c>
      <c r="AE273" s="44">
        <f>G273*0.494333643988816</f>
        <v>0</v>
      </c>
      <c r="AF273" s="44">
        <f>G273*(1-0.494333643988816)</f>
        <v>0</v>
      </c>
      <c r="AG273" s="41" t="s">
        <v>7</v>
      </c>
      <c r="AM273" s="44">
        <f>F273*AE273</f>
        <v>0</v>
      </c>
      <c r="AN273" s="44">
        <f>F273*AF273</f>
        <v>0</v>
      </c>
      <c r="AO273" s="45" t="s">
        <v>693</v>
      </c>
      <c r="AP273" s="45" t="s">
        <v>716</v>
      </c>
      <c r="AQ273" s="36" t="s">
        <v>718</v>
      </c>
      <c r="AS273" s="44">
        <f>AM273+AN273</f>
        <v>0</v>
      </c>
      <c r="AT273" s="44">
        <f>G273/(100-AU273)*100</f>
        <v>0</v>
      </c>
      <c r="AU273" s="44">
        <v>0</v>
      </c>
      <c r="AV273" s="44">
        <f>L273</f>
        <v>0.2647</v>
      </c>
    </row>
    <row r="274" spans="4:7" ht="12.75">
      <c r="D274" s="17" t="s">
        <v>516</v>
      </c>
      <c r="F274" s="74">
        <v>1</v>
      </c>
      <c r="G274" s="24"/>
    </row>
    <row r="275" spans="1:48" ht="13.5">
      <c r="A275" s="6" t="s">
        <v>99</v>
      </c>
      <c r="B275" s="6" t="s">
        <v>145</v>
      </c>
      <c r="C275" s="6" t="s">
        <v>240</v>
      </c>
      <c r="D275" s="6" t="s">
        <v>517</v>
      </c>
      <c r="E275" s="6" t="s">
        <v>631</v>
      </c>
      <c r="F275" s="73">
        <v>1</v>
      </c>
      <c r="G275" s="29">
        <v>0</v>
      </c>
      <c r="H275" s="22">
        <f>F275*AE275</f>
        <v>0</v>
      </c>
      <c r="I275" s="22">
        <f>J275-H275</f>
        <v>0</v>
      </c>
      <c r="J275" s="22">
        <f>F275*G275</f>
        <v>0</v>
      </c>
      <c r="K275" s="22">
        <v>0.82554</v>
      </c>
      <c r="L275" s="22">
        <f>F275*K275</f>
        <v>0.82554</v>
      </c>
      <c r="M275" s="41" t="s">
        <v>662</v>
      </c>
      <c r="P275" s="44">
        <f>IF(AG275="5",J275,0)</f>
        <v>0</v>
      </c>
      <c r="R275" s="44">
        <f>IF(AG275="1",H275,0)</f>
        <v>0</v>
      </c>
      <c r="S275" s="44">
        <f>IF(AG275="1",I275,0)</f>
        <v>0</v>
      </c>
      <c r="T275" s="44">
        <f>IF(AG275="7",H275,0)</f>
        <v>0</v>
      </c>
      <c r="U275" s="44">
        <f>IF(AG275="7",I275,0)</f>
        <v>0</v>
      </c>
      <c r="V275" s="44">
        <f>IF(AG275="2",H275,0)</f>
        <v>0</v>
      </c>
      <c r="W275" s="44">
        <f>IF(AG275="2",I275,0)</f>
        <v>0</v>
      </c>
      <c r="X275" s="44">
        <f>IF(AG275="0",J275,0)</f>
        <v>0</v>
      </c>
      <c r="Y275" s="36" t="s">
        <v>145</v>
      </c>
      <c r="Z275" s="22">
        <f>IF(AD275=0,J275,0)</f>
        <v>0</v>
      </c>
      <c r="AA275" s="22">
        <f>IF(AD275=15,J275,0)</f>
        <v>0</v>
      </c>
      <c r="AB275" s="22">
        <f>IF(AD275=21,J275,0)</f>
        <v>0</v>
      </c>
      <c r="AD275" s="44">
        <v>21</v>
      </c>
      <c r="AE275" s="44">
        <f>G275*0.822144415584416</f>
        <v>0</v>
      </c>
      <c r="AF275" s="44">
        <f>G275*(1-0.822144415584416)</f>
        <v>0</v>
      </c>
      <c r="AG275" s="41" t="s">
        <v>7</v>
      </c>
      <c r="AM275" s="44">
        <f>F275*AE275</f>
        <v>0</v>
      </c>
      <c r="AN275" s="44">
        <f>F275*AF275</f>
        <v>0</v>
      </c>
      <c r="AO275" s="45" t="s">
        <v>693</v>
      </c>
      <c r="AP275" s="45" t="s">
        <v>716</v>
      </c>
      <c r="AQ275" s="36" t="s">
        <v>718</v>
      </c>
      <c r="AS275" s="44">
        <f>AM275+AN275</f>
        <v>0</v>
      </c>
      <c r="AT275" s="44">
        <f>G275/(100-AU275)*100</f>
        <v>0</v>
      </c>
      <c r="AU275" s="44">
        <v>0</v>
      </c>
      <c r="AV275" s="44">
        <f>L275</f>
        <v>0.82554</v>
      </c>
    </row>
    <row r="276" spans="4:7" ht="12.75">
      <c r="D276" s="18" t="s">
        <v>518</v>
      </c>
      <c r="G276" s="24"/>
    </row>
    <row r="277" spans="4:7" ht="12.75">
      <c r="D277" s="17" t="s">
        <v>7</v>
      </c>
      <c r="F277" s="74">
        <v>1</v>
      </c>
      <c r="G277" s="24"/>
    </row>
    <row r="278" spans="3:13" ht="25.5" customHeight="1">
      <c r="C278" s="15" t="s">
        <v>142</v>
      </c>
      <c r="D278" s="177" t="s">
        <v>519</v>
      </c>
      <c r="E278" s="178"/>
      <c r="F278" s="178"/>
      <c r="G278" s="179"/>
      <c r="H278" s="178"/>
      <c r="I278" s="178"/>
      <c r="J278" s="178"/>
      <c r="K278" s="178"/>
      <c r="L278" s="178"/>
      <c r="M278" s="178"/>
    </row>
    <row r="279" spans="1:48" ht="13.5">
      <c r="A279" s="6" t="s">
        <v>100</v>
      </c>
      <c r="B279" s="6" t="s">
        <v>145</v>
      </c>
      <c r="C279" s="6" t="s">
        <v>241</v>
      </c>
      <c r="D279" s="6" t="s">
        <v>520</v>
      </c>
      <c r="E279" s="6" t="s">
        <v>631</v>
      </c>
      <c r="F279" s="73">
        <v>1.5</v>
      </c>
      <c r="G279" s="29">
        <v>0</v>
      </c>
      <c r="H279" s="22">
        <f>F279*AE279</f>
        <v>0</v>
      </c>
      <c r="I279" s="22">
        <f>J279-H279</f>
        <v>0</v>
      </c>
      <c r="J279" s="22">
        <f>F279*G279</f>
        <v>0</v>
      </c>
      <c r="K279" s="22">
        <v>0.43382</v>
      </c>
      <c r="L279" s="22">
        <f>F279*K279</f>
        <v>0.65073</v>
      </c>
      <c r="M279" s="41" t="s">
        <v>660</v>
      </c>
      <c r="P279" s="44">
        <f>IF(AG279="5",J279,0)</f>
        <v>0</v>
      </c>
      <c r="R279" s="44">
        <f>IF(AG279="1",H279,0)</f>
        <v>0</v>
      </c>
      <c r="S279" s="44">
        <f>IF(AG279="1",I279,0)</f>
        <v>0</v>
      </c>
      <c r="T279" s="44">
        <f>IF(AG279="7",H279,0)</f>
        <v>0</v>
      </c>
      <c r="U279" s="44">
        <f>IF(AG279="7",I279,0)</f>
        <v>0</v>
      </c>
      <c r="V279" s="44">
        <f>IF(AG279="2",H279,0)</f>
        <v>0</v>
      </c>
      <c r="W279" s="44">
        <f>IF(AG279="2",I279,0)</f>
        <v>0</v>
      </c>
      <c r="X279" s="44">
        <f>IF(AG279="0",J279,0)</f>
        <v>0</v>
      </c>
      <c r="Y279" s="36" t="s">
        <v>145</v>
      </c>
      <c r="Z279" s="22">
        <f>IF(AD279=0,J279,0)</f>
        <v>0</v>
      </c>
      <c r="AA279" s="22">
        <f>IF(AD279=15,J279,0)</f>
        <v>0</v>
      </c>
      <c r="AB279" s="22">
        <f>IF(AD279=21,J279,0)</f>
        <v>0</v>
      </c>
      <c r="AD279" s="44">
        <v>21</v>
      </c>
      <c r="AE279" s="44">
        <f>G279*0.39034703196347</f>
        <v>0</v>
      </c>
      <c r="AF279" s="44">
        <f>G279*(1-0.39034703196347)</f>
        <v>0</v>
      </c>
      <c r="AG279" s="41" t="s">
        <v>7</v>
      </c>
      <c r="AM279" s="44">
        <f>F279*AE279</f>
        <v>0</v>
      </c>
      <c r="AN279" s="44">
        <f>F279*AF279</f>
        <v>0</v>
      </c>
      <c r="AO279" s="45" t="s">
        <v>693</v>
      </c>
      <c r="AP279" s="45" t="s">
        <v>716</v>
      </c>
      <c r="AQ279" s="36" t="s">
        <v>718</v>
      </c>
      <c r="AS279" s="44">
        <f>AM279+AN279</f>
        <v>0</v>
      </c>
      <c r="AT279" s="44">
        <f>G279/(100-AU279)*100</f>
        <v>0</v>
      </c>
      <c r="AU279" s="44">
        <v>0</v>
      </c>
      <c r="AV279" s="44">
        <f>L279</f>
        <v>0.65073</v>
      </c>
    </row>
    <row r="280" spans="4:7" ht="12.75">
      <c r="D280" s="17" t="s">
        <v>521</v>
      </c>
      <c r="F280" s="74">
        <v>1.5</v>
      </c>
      <c r="G280" s="24"/>
    </row>
    <row r="281" spans="1:48" ht="13.5">
      <c r="A281" s="6" t="s">
        <v>101</v>
      </c>
      <c r="B281" s="6" t="s">
        <v>145</v>
      </c>
      <c r="C281" s="6" t="s">
        <v>242</v>
      </c>
      <c r="D281" s="6" t="s">
        <v>522</v>
      </c>
      <c r="E281" s="6" t="s">
        <v>631</v>
      </c>
      <c r="F281" s="73">
        <v>1.5</v>
      </c>
      <c r="G281" s="29">
        <v>0</v>
      </c>
      <c r="H281" s="22">
        <f>F281*AE281</f>
        <v>0</v>
      </c>
      <c r="I281" s="22">
        <f>J281-H281</f>
        <v>0</v>
      </c>
      <c r="J281" s="22">
        <f>F281*G281</f>
        <v>0</v>
      </c>
      <c r="K281" s="22">
        <v>0.32272</v>
      </c>
      <c r="L281" s="22">
        <f>F281*K281</f>
        <v>0.48408</v>
      </c>
      <c r="M281" s="41" t="s">
        <v>660</v>
      </c>
      <c r="P281" s="44">
        <f>IF(AG281="5",J281,0)</f>
        <v>0</v>
      </c>
      <c r="R281" s="44">
        <f>IF(AG281="1",H281,0)</f>
        <v>0</v>
      </c>
      <c r="S281" s="44">
        <f>IF(AG281="1",I281,0)</f>
        <v>0</v>
      </c>
      <c r="T281" s="44">
        <f>IF(AG281="7",H281,0)</f>
        <v>0</v>
      </c>
      <c r="U281" s="44">
        <f>IF(AG281="7",I281,0)</f>
        <v>0</v>
      </c>
      <c r="V281" s="44">
        <f>IF(AG281="2",H281,0)</f>
        <v>0</v>
      </c>
      <c r="W281" s="44">
        <f>IF(AG281="2",I281,0)</f>
        <v>0</v>
      </c>
      <c r="X281" s="44">
        <f>IF(AG281="0",J281,0)</f>
        <v>0</v>
      </c>
      <c r="Y281" s="36" t="s">
        <v>145</v>
      </c>
      <c r="Z281" s="22">
        <f>IF(AD281=0,J281,0)</f>
        <v>0</v>
      </c>
      <c r="AA281" s="22">
        <f>IF(AD281=15,J281,0)</f>
        <v>0</v>
      </c>
      <c r="AB281" s="22">
        <f>IF(AD281=21,J281,0)</f>
        <v>0</v>
      </c>
      <c r="AD281" s="44">
        <v>21</v>
      </c>
      <c r="AE281" s="44">
        <f>G281*0.421826544021025</f>
        <v>0</v>
      </c>
      <c r="AF281" s="44">
        <f>G281*(1-0.421826544021025)</f>
        <v>0</v>
      </c>
      <c r="AG281" s="41" t="s">
        <v>7</v>
      </c>
      <c r="AM281" s="44">
        <f>F281*AE281</f>
        <v>0</v>
      </c>
      <c r="AN281" s="44">
        <f>F281*AF281</f>
        <v>0</v>
      </c>
      <c r="AO281" s="45" t="s">
        <v>693</v>
      </c>
      <c r="AP281" s="45" t="s">
        <v>716</v>
      </c>
      <c r="AQ281" s="36" t="s">
        <v>718</v>
      </c>
      <c r="AS281" s="44">
        <f>AM281+AN281</f>
        <v>0</v>
      </c>
      <c r="AT281" s="44">
        <f>G281/(100-AU281)*100</f>
        <v>0</v>
      </c>
      <c r="AU281" s="44">
        <v>0</v>
      </c>
      <c r="AV281" s="44">
        <f>L281</f>
        <v>0.48408</v>
      </c>
    </row>
    <row r="282" spans="4:7" ht="12.75">
      <c r="D282" s="17" t="s">
        <v>523</v>
      </c>
      <c r="F282" s="74">
        <v>1.5</v>
      </c>
      <c r="G282" s="24"/>
    </row>
    <row r="283" spans="1:37" ht="13.5">
      <c r="A283" s="5"/>
      <c r="B283" s="14" t="s">
        <v>145</v>
      </c>
      <c r="C283" s="14" t="s">
        <v>243</v>
      </c>
      <c r="D283" s="14" t="s">
        <v>524</v>
      </c>
      <c r="E283" s="5" t="s">
        <v>6</v>
      </c>
      <c r="F283" s="5" t="s">
        <v>6</v>
      </c>
      <c r="G283" s="28" t="s">
        <v>6</v>
      </c>
      <c r="H283" s="47">
        <f>SUM(H284:H286)</f>
        <v>0</v>
      </c>
      <c r="I283" s="47">
        <f>SUM(I284:I286)</f>
        <v>0</v>
      </c>
      <c r="J283" s="47">
        <f>H283+I283</f>
        <v>0</v>
      </c>
      <c r="K283" s="36"/>
      <c r="L283" s="47">
        <f>SUM(L284:L286)</f>
        <v>0.28500000000000003</v>
      </c>
      <c r="M283" s="36"/>
      <c r="Y283" s="36" t="s">
        <v>145</v>
      </c>
      <c r="AI283" s="47">
        <f>SUM(Z284:Z286)</f>
        <v>0</v>
      </c>
      <c r="AJ283" s="47">
        <f>SUM(AA284:AA286)</f>
        <v>0</v>
      </c>
      <c r="AK283" s="47">
        <f>SUM(AB284:AB286)</f>
        <v>0</v>
      </c>
    </row>
    <row r="284" spans="1:48" ht="13.5">
      <c r="A284" s="6" t="s">
        <v>102</v>
      </c>
      <c r="B284" s="6" t="s">
        <v>145</v>
      </c>
      <c r="C284" s="6" t="s">
        <v>244</v>
      </c>
      <c r="D284" s="6" t="s">
        <v>525</v>
      </c>
      <c r="E284" s="6" t="s">
        <v>631</v>
      </c>
      <c r="F284" s="73">
        <v>0.5</v>
      </c>
      <c r="G284" s="29">
        <v>0</v>
      </c>
      <c r="H284" s="22">
        <f>F284*AE284</f>
        <v>0</v>
      </c>
      <c r="I284" s="22">
        <f>J284-H284</f>
        <v>0</v>
      </c>
      <c r="J284" s="22">
        <f>F284*G284</f>
        <v>0</v>
      </c>
      <c r="K284" s="22">
        <v>0.26</v>
      </c>
      <c r="L284" s="22">
        <f>F284*K284</f>
        <v>0.13</v>
      </c>
      <c r="M284" s="41"/>
      <c r="P284" s="44">
        <f>IF(AG284="5",J284,0)</f>
        <v>0</v>
      </c>
      <c r="R284" s="44">
        <f>IF(AG284="1",H284,0)</f>
        <v>0</v>
      </c>
      <c r="S284" s="44">
        <f>IF(AG284="1",I284,0)</f>
        <v>0</v>
      </c>
      <c r="T284" s="44">
        <f>IF(AG284="7",H284,0)</f>
        <v>0</v>
      </c>
      <c r="U284" s="44">
        <f>IF(AG284="7",I284,0)</f>
        <v>0</v>
      </c>
      <c r="V284" s="44">
        <f>IF(AG284="2",H284,0)</f>
        <v>0</v>
      </c>
      <c r="W284" s="44">
        <f>IF(AG284="2",I284,0)</f>
        <v>0</v>
      </c>
      <c r="X284" s="44">
        <f>IF(AG284="0",J284,0)</f>
        <v>0</v>
      </c>
      <c r="Y284" s="36" t="s">
        <v>145</v>
      </c>
      <c r="Z284" s="22">
        <f>IF(AD284=0,J284,0)</f>
        <v>0</v>
      </c>
      <c r="AA284" s="22">
        <f>IF(AD284=15,J284,0)</f>
        <v>0</v>
      </c>
      <c r="AB284" s="22">
        <f>IF(AD284=21,J284,0)</f>
        <v>0</v>
      </c>
      <c r="AD284" s="44">
        <v>21</v>
      </c>
      <c r="AE284" s="44">
        <f>G284*0</f>
        <v>0</v>
      </c>
      <c r="AF284" s="44">
        <f>G284*(1-0)</f>
        <v>0</v>
      </c>
      <c r="AG284" s="41" t="s">
        <v>7</v>
      </c>
      <c r="AM284" s="44">
        <f>F284*AE284</f>
        <v>0</v>
      </c>
      <c r="AN284" s="44">
        <f>F284*AF284</f>
        <v>0</v>
      </c>
      <c r="AO284" s="45" t="s">
        <v>694</v>
      </c>
      <c r="AP284" s="45" t="s">
        <v>716</v>
      </c>
      <c r="AQ284" s="36" t="s">
        <v>718</v>
      </c>
      <c r="AS284" s="44">
        <f>AM284+AN284</f>
        <v>0</v>
      </c>
      <c r="AT284" s="44">
        <f>G284/(100-AU284)*100</f>
        <v>0</v>
      </c>
      <c r="AU284" s="44">
        <v>0</v>
      </c>
      <c r="AV284" s="44">
        <f>L284</f>
        <v>0.13</v>
      </c>
    </row>
    <row r="285" spans="4:7" ht="12.75">
      <c r="D285" s="17" t="s">
        <v>526</v>
      </c>
      <c r="F285" s="74">
        <v>0.5</v>
      </c>
      <c r="G285" s="24"/>
    </row>
    <row r="286" spans="1:48" ht="13.5">
      <c r="A286" s="6" t="s">
        <v>103</v>
      </c>
      <c r="B286" s="6" t="s">
        <v>145</v>
      </c>
      <c r="C286" s="6" t="s">
        <v>245</v>
      </c>
      <c r="D286" s="6" t="s">
        <v>527</v>
      </c>
      <c r="E286" s="6" t="s">
        <v>631</v>
      </c>
      <c r="F286" s="73">
        <v>0.5</v>
      </c>
      <c r="G286" s="29">
        <v>0</v>
      </c>
      <c r="H286" s="22">
        <f>F286*AE286</f>
        <v>0</v>
      </c>
      <c r="I286" s="22">
        <f>J286-H286</f>
        <v>0</v>
      </c>
      <c r="J286" s="22">
        <f>F286*G286</f>
        <v>0</v>
      </c>
      <c r="K286" s="22">
        <v>0.31</v>
      </c>
      <c r="L286" s="22">
        <f>F286*K286</f>
        <v>0.155</v>
      </c>
      <c r="M286" s="41"/>
      <c r="P286" s="44">
        <f>IF(AG286="5",J286,0)</f>
        <v>0</v>
      </c>
      <c r="R286" s="44">
        <f>IF(AG286="1",H286,0)</f>
        <v>0</v>
      </c>
      <c r="S286" s="44">
        <f>IF(AG286="1",I286,0)</f>
        <v>0</v>
      </c>
      <c r="T286" s="44">
        <f>IF(AG286="7",H286,0)</f>
        <v>0</v>
      </c>
      <c r="U286" s="44">
        <f>IF(AG286="7",I286,0)</f>
        <v>0</v>
      </c>
      <c r="V286" s="44">
        <f>IF(AG286="2",H286,0)</f>
        <v>0</v>
      </c>
      <c r="W286" s="44">
        <f>IF(AG286="2",I286,0)</f>
        <v>0</v>
      </c>
      <c r="X286" s="44">
        <f>IF(AG286="0",J286,0)</f>
        <v>0</v>
      </c>
      <c r="Y286" s="36" t="s">
        <v>145</v>
      </c>
      <c r="Z286" s="22">
        <f>IF(AD286=0,J286,0)</f>
        <v>0</v>
      </c>
      <c r="AA286" s="22">
        <f>IF(AD286=15,J286,0)</f>
        <v>0</v>
      </c>
      <c r="AB286" s="22">
        <f>IF(AD286=21,J286,0)</f>
        <v>0</v>
      </c>
      <c r="AD286" s="44">
        <v>21</v>
      </c>
      <c r="AE286" s="44">
        <f>G286*0</f>
        <v>0</v>
      </c>
      <c r="AF286" s="44">
        <f>G286*(1-0)</f>
        <v>0</v>
      </c>
      <c r="AG286" s="41" t="s">
        <v>7</v>
      </c>
      <c r="AM286" s="44">
        <f>F286*AE286</f>
        <v>0</v>
      </c>
      <c r="AN286" s="44">
        <f>F286*AF286</f>
        <v>0</v>
      </c>
      <c r="AO286" s="45" t="s">
        <v>694</v>
      </c>
      <c r="AP286" s="45" t="s">
        <v>716</v>
      </c>
      <c r="AQ286" s="36" t="s">
        <v>718</v>
      </c>
      <c r="AS286" s="44">
        <f>AM286+AN286</f>
        <v>0</v>
      </c>
      <c r="AT286" s="44">
        <f>G286/(100-AU286)*100</f>
        <v>0</v>
      </c>
      <c r="AU286" s="44">
        <v>0</v>
      </c>
      <c r="AV286" s="44">
        <f>L286</f>
        <v>0.155</v>
      </c>
    </row>
    <row r="287" spans="4:7" ht="12.75">
      <c r="D287" s="17" t="s">
        <v>526</v>
      </c>
      <c r="F287" s="74">
        <v>0.5</v>
      </c>
      <c r="G287" s="24"/>
    </row>
    <row r="288" spans="1:37" ht="13.5">
      <c r="A288" s="5"/>
      <c r="B288" s="14" t="s">
        <v>145</v>
      </c>
      <c r="C288" s="14" t="s">
        <v>96</v>
      </c>
      <c r="D288" s="14" t="s">
        <v>528</v>
      </c>
      <c r="E288" s="5" t="s">
        <v>6</v>
      </c>
      <c r="F288" s="5" t="s">
        <v>6</v>
      </c>
      <c r="G288" s="28" t="s">
        <v>6</v>
      </c>
      <c r="H288" s="47">
        <f>SUM(H289:H293)</f>
        <v>0</v>
      </c>
      <c r="I288" s="47">
        <f>SUM(I289:I293)</f>
        <v>0</v>
      </c>
      <c r="J288" s="47">
        <f>H288+I288</f>
        <v>0</v>
      </c>
      <c r="K288" s="36"/>
      <c r="L288" s="47">
        <f>SUM(L289:L293)</f>
        <v>7.0478103999999995</v>
      </c>
      <c r="M288" s="36"/>
      <c r="Y288" s="36" t="s">
        <v>145</v>
      </c>
      <c r="AI288" s="47">
        <f>SUM(Z289:Z293)</f>
        <v>0</v>
      </c>
      <c r="AJ288" s="47">
        <f>SUM(AA289:AA293)</f>
        <v>0</v>
      </c>
      <c r="AK288" s="47">
        <f>SUM(AB289:AB293)</f>
        <v>0</v>
      </c>
    </row>
    <row r="289" spans="1:48" ht="13.5">
      <c r="A289" s="6" t="s">
        <v>104</v>
      </c>
      <c r="B289" s="6" t="s">
        <v>145</v>
      </c>
      <c r="C289" s="6" t="s">
        <v>246</v>
      </c>
      <c r="D289" s="6" t="s">
        <v>529</v>
      </c>
      <c r="E289" s="6" t="s">
        <v>633</v>
      </c>
      <c r="F289" s="73">
        <v>9.33</v>
      </c>
      <c r="G289" s="29">
        <v>0</v>
      </c>
      <c r="H289" s="22">
        <f>F289*AE289</f>
        <v>0</v>
      </c>
      <c r="I289" s="22">
        <f>J289-H289</f>
        <v>0</v>
      </c>
      <c r="J289" s="22">
        <f>F289*G289</f>
        <v>0</v>
      </c>
      <c r="K289" s="22">
        <v>0</v>
      </c>
      <c r="L289" s="22">
        <f>F289*K289</f>
        <v>0</v>
      </c>
      <c r="M289" s="41" t="s">
        <v>660</v>
      </c>
      <c r="P289" s="44">
        <f>IF(AG289="5",J289,0)</f>
        <v>0</v>
      </c>
      <c r="R289" s="44">
        <f>IF(AG289="1",H289,0)</f>
        <v>0</v>
      </c>
      <c r="S289" s="44">
        <f>IF(AG289="1",I289,0)</f>
        <v>0</v>
      </c>
      <c r="T289" s="44">
        <f>IF(AG289="7",H289,0)</f>
        <v>0</v>
      </c>
      <c r="U289" s="44">
        <f>IF(AG289="7",I289,0)</f>
        <v>0</v>
      </c>
      <c r="V289" s="44">
        <f>IF(AG289="2",H289,0)</f>
        <v>0</v>
      </c>
      <c r="W289" s="44">
        <f>IF(AG289="2",I289,0)</f>
        <v>0</v>
      </c>
      <c r="X289" s="44">
        <f>IF(AG289="0",J289,0)</f>
        <v>0</v>
      </c>
      <c r="Y289" s="36" t="s">
        <v>145</v>
      </c>
      <c r="Z289" s="22">
        <f>IF(AD289=0,J289,0)</f>
        <v>0</v>
      </c>
      <c r="AA289" s="22">
        <f>IF(AD289=15,J289,0)</f>
        <v>0</v>
      </c>
      <c r="AB289" s="22">
        <f>IF(AD289=21,J289,0)</f>
        <v>0</v>
      </c>
      <c r="AD289" s="44">
        <v>21</v>
      </c>
      <c r="AE289" s="44">
        <f>G289*0</f>
        <v>0</v>
      </c>
      <c r="AF289" s="44">
        <f>G289*(1-0)</f>
        <v>0</v>
      </c>
      <c r="AG289" s="41" t="s">
        <v>7</v>
      </c>
      <c r="AM289" s="44">
        <f>F289*AE289</f>
        <v>0</v>
      </c>
      <c r="AN289" s="44">
        <f>F289*AF289</f>
        <v>0</v>
      </c>
      <c r="AO289" s="45" t="s">
        <v>695</v>
      </c>
      <c r="AP289" s="45" t="s">
        <v>717</v>
      </c>
      <c r="AQ289" s="36" t="s">
        <v>718</v>
      </c>
      <c r="AS289" s="44">
        <f>AM289+AN289</f>
        <v>0</v>
      </c>
      <c r="AT289" s="44">
        <f>G289/(100-AU289)*100</f>
        <v>0</v>
      </c>
      <c r="AU289" s="44">
        <v>0</v>
      </c>
      <c r="AV289" s="44">
        <f>L289</f>
        <v>0</v>
      </c>
    </row>
    <row r="290" spans="4:7" ht="12.75">
      <c r="D290" s="18" t="s">
        <v>530</v>
      </c>
      <c r="G290" s="24"/>
    </row>
    <row r="291" spans="4:7" ht="12.75">
      <c r="D291" s="17" t="s">
        <v>531</v>
      </c>
      <c r="F291" s="74">
        <v>9.33</v>
      </c>
      <c r="G291" s="24"/>
    </row>
    <row r="292" spans="4:7" ht="12.75">
      <c r="D292" s="17" t="s">
        <v>532</v>
      </c>
      <c r="F292" s="74">
        <v>0</v>
      </c>
      <c r="G292" s="24"/>
    </row>
    <row r="293" spans="1:48" ht="13.5">
      <c r="A293" s="6" t="s">
        <v>105</v>
      </c>
      <c r="B293" s="6" t="s">
        <v>145</v>
      </c>
      <c r="C293" s="6" t="s">
        <v>247</v>
      </c>
      <c r="D293" s="6" t="s">
        <v>533</v>
      </c>
      <c r="E293" s="6" t="s">
        <v>634</v>
      </c>
      <c r="F293" s="73">
        <v>1.34</v>
      </c>
      <c r="G293" s="29">
        <v>0</v>
      </c>
      <c r="H293" s="22">
        <f>F293*AE293</f>
        <v>0</v>
      </c>
      <c r="I293" s="22">
        <f>J293-H293</f>
        <v>0</v>
      </c>
      <c r="J293" s="22">
        <f>F293*G293</f>
        <v>0</v>
      </c>
      <c r="K293" s="22">
        <v>5.25956</v>
      </c>
      <c r="L293" s="22">
        <f>F293*K293</f>
        <v>7.0478103999999995</v>
      </c>
      <c r="M293" s="41" t="s">
        <v>660</v>
      </c>
      <c r="P293" s="44">
        <f>IF(AG293="5",J293,0)</f>
        <v>0</v>
      </c>
      <c r="R293" s="44">
        <f>IF(AG293="1",H293,0)</f>
        <v>0</v>
      </c>
      <c r="S293" s="44">
        <f>IF(AG293="1",I293,0)</f>
        <v>0</v>
      </c>
      <c r="T293" s="44">
        <f>IF(AG293="7",H293,0)</f>
        <v>0</v>
      </c>
      <c r="U293" s="44">
        <f>IF(AG293="7",I293,0)</f>
        <v>0</v>
      </c>
      <c r="V293" s="44">
        <f>IF(AG293="2",H293,0)</f>
        <v>0</v>
      </c>
      <c r="W293" s="44">
        <f>IF(AG293="2",I293,0)</f>
        <v>0</v>
      </c>
      <c r="X293" s="44">
        <f>IF(AG293="0",J293,0)</f>
        <v>0</v>
      </c>
      <c r="Y293" s="36" t="s">
        <v>145</v>
      </c>
      <c r="Z293" s="22">
        <f>IF(AD293=0,J293,0)</f>
        <v>0</v>
      </c>
      <c r="AA293" s="22">
        <f>IF(AD293=15,J293,0)</f>
        <v>0</v>
      </c>
      <c r="AB293" s="22">
        <f>IF(AD293=21,J293,0)</f>
        <v>0</v>
      </c>
      <c r="AD293" s="44">
        <v>21</v>
      </c>
      <c r="AE293" s="44">
        <f>G293*0.682261589403974</f>
        <v>0</v>
      </c>
      <c r="AF293" s="44">
        <f>G293*(1-0.682261589403974)</f>
        <v>0</v>
      </c>
      <c r="AG293" s="41" t="s">
        <v>7</v>
      </c>
      <c r="AM293" s="44">
        <f>F293*AE293</f>
        <v>0</v>
      </c>
      <c r="AN293" s="44">
        <f>F293*AF293</f>
        <v>0</v>
      </c>
      <c r="AO293" s="45" t="s">
        <v>695</v>
      </c>
      <c r="AP293" s="45" t="s">
        <v>717</v>
      </c>
      <c r="AQ293" s="36" t="s">
        <v>718</v>
      </c>
      <c r="AS293" s="44">
        <f>AM293+AN293</f>
        <v>0</v>
      </c>
      <c r="AT293" s="44">
        <f>G293/(100-AU293)*100</f>
        <v>0</v>
      </c>
      <c r="AU293" s="44">
        <v>0</v>
      </c>
      <c r="AV293" s="44">
        <f>L293</f>
        <v>7.0478103999999995</v>
      </c>
    </row>
    <row r="294" spans="4:7" ht="12.75">
      <c r="D294" s="18" t="s">
        <v>534</v>
      </c>
      <c r="G294" s="24"/>
    </row>
    <row r="295" spans="4:7" ht="12.75">
      <c r="D295" s="17" t="s">
        <v>535</v>
      </c>
      <c r="F295" s="74">
        <v>1.34</v>
      </c>
      <c r="G295" s="24"/>
    </row>
    <row r="296" spans="3:13" ht="25.5" customHeight="1">
      <c r="C296" s="15" t="s">
        <v>142</v>
      </c>
      <c r="D296" s="177" t="s">
        <v>536</v>
      </c>
      <c r="E296" s="178"/>
      <c r="F296" s="178"/>
      <c r="G296" s="179"/>
      <c r="H296" s="178"/>
      <c r="I296" s="178"/>
      <c r="J296" s="178"/>
      <c r="K296" s="178"/>
      <c r="L296" s="178"/>
      <c r="M296" s="178"/>
    </row>
    <row r="297" spans="1:37" ht="13.5">
      <c r="A297" s="5"/>
      <c r="B297" s="14" t="s">
        <v>145</v>
      </c>
      <c r="C297" s="14" t="s">
        <v>97</v>
      </c>
      <c r="D297" s="14" t="s">
        <v>537</v>
      </c>
      <c r="E297" s="5" t="s">
        <v>6</v>
      </c>
      <c r="F297" s="5" t="s">
        <v>6</v>
      </c>
      <c r="G297" s="28" t="s">
        <v>6</v>
      </c>
      <c r="H297" s="47">
        <f>SUM(H298:H325)</f>
        <v>0</v>
      </c>
      <c r="I297" s="47">
        <f>SUM(I298:I325)</f>
        <v>0</v>
      </c>
      <c r="J297" s="47">
        <f>H297+I297</f>
        <v>0</v>
      </c>
      <c r="K297" s="36"/>
      <c r="L297" s="47">
        <f>SUM(L298:L325)</f>
        <v>92.430106</v>
      </c>
      <c r="M297" s="36"/>
      <c r="Y297" s="36" t="s">
        <v>145</v>
      </c>
      <c r="AI297" s="47">
        <f>SUM(Z298:Z325)</f>
        <v>0</v>
      </c>
      <c r="AJ297" s="47">
        <f>SUM(AA298:AA325)</f>
        <v>0</v>
      </c>
      <c r="AK297" s="47">
        <f>SUM(AB298:AB325)</f>
        <v>0</v>
      </c>
    </row>
    <row r="298" spans="1:48" ht="13.5">
      <c r="A298" s="6" t="s">
        <v>106</v>
      </c>
      <c r="B298" s="6" t="s">
        <v>145</v>
      </c>
      <c r="C298" s="6" t="s">
        <v>248</v>
      </c>
      <c r="D298" s="6" t="s">
        <v>538</v>
      </c>
      <c r="E298" s="6" t="s">
        <v>627</v>
      </c>
      <c r="F298" s="73">
        <v>2.1</v>
      </c>
      <c r="G298" s="29">
        <v>0</v>
      </c>
      <c r="H298" s="22">
        <f>F298*AE298</f>
        <v>0</v>
      </c>
      <c r="I298" s="22">
        <f>J298-H298</f>
        <v>0</v>
      </c>
      <c r="J298" s="22">
        <f>F298*G298</f>
        <v>0</v>
      </c>
      <c r="K298" s="22">
        <v>0.00076</v>
      </c>
      <c r="L298" s="22">
        <f>F298*K298</f>
        <v>0.0015960000000000002</v>
      </c>
      <c r="M298" s="41" t="s">
        <v>660</v>
      </c>
      <c r="P298" s="44">
        <f>IF(AG298="5",J298,0)</f>
        <v>0</v>
      </c>
      <c r="R298" s="44">
        <f>IF(AG298="1",H298,0)</f>
        <v>0</v>
      </c>
      <c r="S298" s="44">
        <f>IF(AG298="1",I298,0)</f>
        <v>0</v>
      </c>
      <c r="T298" s="44">
        <f>IF(AG298="7",H298,0)</f>
        <v>0</v>
      </c>
      <c r="U298" s="44">
        <f>IF(AG298="7",I298,0)</f>
        <v>0</v>
      </c>
      <c r="V298" s="44">
        <f>IF(AG298="2",H298,0)</f>
        <v>0</v>
      </c>
      <c r="W298" s="44">
        <f>IF(AG298="2",I298,0)</f>
        <v>0</v>
      </c>
      <c r="X298" s="44">
        <f>IF(AG298="0",J298,0)</f>
        <v>0</v>
      </c>
      <c r="Y298" s="36" t="s">
        <v>145</v>
      </c>
      <c r="Z298" s="22">
        <f>IF(AD298=0,J298,0)</f>
        <v>0</v>
      </c>
      <c r="AA298" s="22">
        <f>IF(AD298=15,J298,0)</f>
        <v>0</v>
      </c>
      <c r="AB298" s="22">
        <f>IF(AD298=21,J298,0)</f>
        <v>0</v>
      </c>
      <c r="AD298" s="44">
        <v>21</v>
      </c>
      <c r="AE298" s="44">
        <f>G298*0.39116</f>
        <v>0</v>
      </c>
      <c r="AF298" s="44">
        <f>G298*(1-0.39116)</f>
        <v>0</v>
      </c>
      <c r="AG298" s="41" t="s">
        <v>7</v>
      </c>
      <c r="AM298" s="44">
        <f>F298*AE298</f>
        <v>0</v>
      </c>
      <c r="AN298" s="44">
        <f>F298*AF298</f>
        <v>0</v>
      </c>
      <c r="AO298" s="45" t="s">
        <v>696</v>
      </c>
      <c r="AP298" s="45" t="s">
        <v>717</v>
      </c>
      <c r="AQ298" s="36" t="s">
        <v>718</v>
      </c>
      <c r="AS298" s="44">
        <f>AM298+AN298</f>
        <v>0</v>
      </c>
      <c r="AT298" s="44">
        <f>G298/(100-AU298)*100</f>
        <v>0</v>
      </c>
      <c r="AU298" s="44">
        <v>0</v>
      </c>
      <c r="AV298" s="44">
        <f>L298</f>
        <v>0.0015960000000000002</v>
      </c>
    </row>
    <row r="299" spans="4:7" ht="12.75">
      <c r="D299" s="17" t="s">
        <v>539</v>
      </c>
      <c r="F299" s="74">
        <v>2.1</v>
      </c>
      <c r="G299" s="24"/>
    </row>
    <row r="300" spans="1:48" ht="13.5">
      <c r="A300" s="6" t="s">
        <v>107</v>
      </c>
      <c r="B300" s="6" t="s">
        <v>145</v>
      </c>
      <c r="C300" s="6" t="s">
        <v>249</v>
      </c>
      <c r="D300" s="6" t="s">
        <v>540</v>
      </c>
      <c r="E300" s="6" t="s">
        <v>627</v>
      </c>
      <c r="F300" s="73">
        <v>2.1</v>
      </c>
      <c r="G300" s="29">
        <v>0</v>
      </c>
      <c r="H300" s="22">
        <f>F300*AE300</f>
        <v>0</v>
      </c>
      <c r="I300" s="22">
        <f>J300-H300</f>
        <v>0</v>
      </c>
      <c r="J300" s="22">
        <f>F300*G300</f>
        <v>0</v>
      </c>
      <c r="K300" s="22">
        <v>0.00032</v>
      </c>
      <c r="L300" s="22">
        <f>F300*K300</f>
        <v>0.0006720000000000001</v>
      </c>
      <c r="M300" s="41" t="s">
        <v>660</v>
      </c>
      <c r="P300" s="44">
        <f>IF(AG300="5",J300,0)</f>
        <v>0</v>
      </c>
      <c r="R300" s="44">
        <f>IF(AG300="1",H300,0)</f>
        <v>0</v>
      </c>
      <c r="S300" s="44">
        <f>IF(AG300="1",I300,0)</f>
        <v>0</v>
      </c>
      <c r="T300" s="44">
        <f>IF(AG300="7",H300,0)</f>
        <v>0</v>
      </c>
      <c r="U300" s="44">
        <f>IF(AG300="7",I300,0)</f>
        <v>0</v>
      </c>
      <c r="V300" s="44">
        <f>IF(AG300="2",H300,0)</f>
        <v>0</v>
      </c>
      <c r="W300" s="44">
        <f>IF(AG300="2",I300,0)</f>
        <v>0</v>
      </c>
      <c r="X300" s="44">
        <f>IF(AG300="0",J300,0)</f>
        <v>0</v>
      </c>
      <c r="Y300" s="36" t="s">
        <v>145</v>
      </c>
      <c r="Z300" s="22">
        <f>IF(AD300=0,J300,0)</f>
        <v>0</v>
      </c>
      <c r="AA300" s="22">
        <f>IF(AD300=15,J300,0)</f>
        <v>0</v>
      </c>
      <c r="AB300" s="22">
        <f>IF(AD300=21,J300,0)</f>
        <v>0</v>
      </c>
      <c r="AD300" s="44">
        <v>21</v>
      </c>
      <c r="AE300" s="44">
        <f>G300*0.768444444444444</f>
        <v>0</v>
      </c>
      <c r="AF300" s="44">
        <f>G300*(1-0.768444444444444)</f>
        <v>0</v>
      </c>
      <c r="AG300" s="41" t="s">
        <v>7</v>
      </c>
      <c r="AM300" s="44">
        <f>F300*AE300</f>
        <v>0</v>
      </c>
      <c r="AN300" s="44">
        <f>F300*AF300</f>
        <v>0</v>
      </c>
      <c r="AO300" s="45" t="s">
        <v>696</v>
      </c>
      <c r="AP300" s="45" t="s">
        <v>717</v>
      </c>
      <c r="AQ300" s="36" t="s">
        <v>718</v>
      </c>
      <c r="AS300" s="44">
        <f>AM300+AN300</f>
        <v>0</v>
      </c>
      <c r="AT300" s="44">
        <f>G300/(100-AU300)*100</f>
        <v>0</v>
      </c>
      <c r="AU300" s="44">
        <v>0</v>
      </c>
      <c r="AV300" s="44">
        <f>L300</f>
        <v>0.0006720000000000001</v>
      </c>
    </row>
    <row r="301" spans="4:7" ht="12.75">
      <c r="D301" s="17" t="s">
        <v>541</v>
      </c>
      <c r="F301" s="74">
        <v>2.1</v>
      </c>
      <c r="G301" s="24"/>
    </row>
    <row r="302" spans="1:48" ht="13.5">
      <c r="A302" s="6" t="s">
        <v>108</v>
      </c>
      <c r="B302" s="6" t="s">
        <v>145</v>
      </c>
      <c r="C302" s="6" t="s">
        <v>250</v>
      </c>
      <c r="D302" s="6" t="s">
        <v>542</v>
      </c>
      <c r="E302" s="6" t="s">
        <v>627</v>
      </c>
      <c r="F302" s="73">
        <v>2.1</v>
      </c>
      <c r="G302" s="29">
        <v>0</v>
      </c>
      <c r="H302" s="22">
        <f>F302*AE302</f>
        <v>0</v>
      </c>
      <c r="I302" s="22">
        <f>J302-H302</f>
        <v>0</v>
      </c>
      <c r="J302" s="22">
        <f>F302*G302</f>
        <v>0</v>
      </c>
      <c r="K302" s="22">
        <v>0</v>
      </c>
      <c r="L302" s="22">
        <f>F302*K302</f>
        <v>0</v>
      </c>
      <c r="M302" s="41" t="s">
        <v>660</v>
      </c>
      <c r="P302" s="44">
        <f>IF(AG302="5",J302,0)</f>
        <v>0</v>
      </c>
      <c r="R302" s="44">
        <f>IF(AG302="1",H302,0)</f>
        <v>0</v>
      </c>
      <c r="S302" s="44">
        <f>IF(AG302="1",I302,0)</f>
        <v>0</v>
      </c>
      <c r="T302" s="44">
        <f>IF(AG302="7",H302,0)</f>
        <v>0</v>
      </c>
      <c r="U302" s="44">
        <f>IF(AG302="7",I302,0)</f>
        <v>0</v>
      </c>
      <c r="V302" s="44">
        <f>IF(AG302="2",H302,0)</f>
        <v>0</v>
      </c>
      <c r="W302" s="44">
        <f>IF(AG302="2",I302,0)</f>
        <v>0</v>
      </c>
      <c r="X302" s="44">
        <f>IF(AG302="0",J302,0)</f>
        <v>0</v>
      </c>
      <c r="Y302" s="36" t="s">
        <v>145</v>
      </c>
      <c r="Z302" s="22">
        <f>IF(AD302=0,J302,0)</f>
        <v>0</v>
      </c>
      <c r="AA302" s="22">
        <f>IF(AD302=15,J302,0)</f>
        <v>0</v>
      </c>
      <c r="AB302" s="22">
        <f>IF(AD302=21,J302,0)</f>
        <v>0</v>
      </c>
      <c r="AD302" s="44">
        <v>21</v>
      </c>
      <c r="AE302" s="44">
        <f>G302*0.00547826086956522</f>
        <v>0</v>
      </c>
      <c r="AF302" s="44">
        <f>G302*(1-0.00547826086956522)</f>
        <v>0</v>
      </c>
      <c r="AG302" s="41" t="s">
        <v>7</v>
      </c>
      <c r="AM302" s="44">
        <f>F302*AE302</f>
        <v>0</v>
      </c>
      <c r="AN302" s="44">
        <f>F302*AF302</f>
        <v>0</v>
      </c>
      <c r="AO302" s="45" t="s">
        <v>696</v>
      </c>
      <c r="AP302" s="45" t="s">
        <v>717</v>
      </c>
      <c r="AQ302" s="36" t="s">
        <v>718</v>
      </c>
      <c r="AS302" s="44">
        <f>AM302+AN302</f>
        <v>0</v>
      </c>
      <c r="AT302" s="44">
        <f>G302/(100-AU302)*100</f>
        <v>0</v>
      </c>
      <c r="AU302" s="44">
        <v>0</v>
      </c>
      <c r="AV302" s="44">
        <f>L302</f>
        <v>0</v>
      </c>
    </row>
    <row r="303" spans="4:7" ht="12.75">
      <c r="D303" s="17" t="s">
        <v>543</v>
      </c>
      <c r="F303" s="74">
        <v>2.1</v>
      </c>
      <c r="G303" s="24"/>
    </row>
    <row r="304" spans="1:48" ht="13.5">
      <c r="A304" s="6" t="s">
        <v>109</v>
      </c>
      <c r="B304" s="6" t="s">
        <v>145</v>
      </c>
      <c r="C304" s="6" t="s">
        <v>251</v>
      </c>
      <c r="D304" s="6" t="s">
        <v>544</v>
      </c>
      <c r="E304" s="6" t="s">
        <v>628</v>
      </c>
      <c r="F304" s="73">
        <v>4.9</v>
      </c>
      <c r="G304" s="29">
        <v>0</v>
      </c>
      <c r="H304" s="22">
        <f>F304*AE304</f>
        <v>0</v>
      </c>
      <c r="I304" s="22">
        <f>J304-H304</f>
        <v>0</v>
      </c>
      <c r="J304" s="22">
        <f>F304*G304</f>
        <v>0</v>
      </c>
      <c r="K304" s="22">
        <v>0</v>
      </c>
      <c r="L304" s="22">
        <f>F304*K304</f>
        <v>0</v>
      </c>
      <c r="M304" s="41" t="s">
        <v>660</v>
      </c>
      <c r="P304" s="44">
        <f>IF(AG304="5",J304,0)</f>
        <v>0</v>
      </c>
      <c r="R304" s="44">
        <f>IF(AG304="1",H304,0)</f>
        <v>0</v>
      </c>
      <c r="S304" s="44">
        <f>IF(AG304="1",I304,0)</f>
        <v>0</v>
      </c>
      <c r="T304" s="44">
        <f>IF(AG304="7",H304,0)</f>
        <v>0</v>
      </c>
      <c r="U304" s="44">
        <f>IF(AG304="7",I304,0)</f>
        <v>0</v>
      </c>
      <c r="V304" s="44">
        <f>IF(AG304="2",H304,0)</f>
        <v>0</v>
      </c>
      <c r="W304" s="44">
        <f>IF(AG304="2",I304,0)</f>
        <v>0</v>
      </c>
      <c r="X304" s="44">
        <f>IF(AG304="0",J304,0)</f>
        <v>0</v>
      </c>
      <c r="Y304" s="36" t="s">
        <v>145</v>
      </c>
      <c r="Z304" s="22">
        <f>IF(AD304=0,J304,0)</f>
        <v>0</v>
      </c>
      <c r="AA304" s="22">
        <f>IF(AD304=15,J304,0)</f>
        <v>0</v>
      </c>
      <c r="AB304" s="22">
        <f>IF(AD304=21,J304,0)</f>
        <v>0</v>
      </c>
      <c r="AD304" s="44">
        <v>21</v>
      </c>
      <c r="AE304" s="44">
        <f>G304*0.530737254901961</f>
        <v>0</v>
      </c>
      <c r="AF304" s="44">
        <f>G304*(1-0.530737254901961)</f>
        <v>0</v>
      </c>
      <c r="AG304" s="41" t="s">
        <v>7</v>
      </c>
      <c r="AM304" s="44">
        <f>F304*AE304</f>
        <v>0</v>
      </c>
      <c r="AN304" s="44">
        <f>F304*AF304</f>
        <v>0</v>
      </c>
      <c r="AO304" s="45" t="s">
        <v>696</v>
      </c>
      <c r="AP304" s="45" t="s">
        <v>717</v>
      </c>
      <c r="AQ304" s="36" t="s">
        <v>718</v>
      </c>
      <c r="AS304" s="44">
        <f>AM304+AN304</f>
        <v>0</v>
      </c>
      <c r="AT304" s="44">
        <f>G304/(100-AU304)*100</f>
        <v>0</v>
      </c>
      <c r="AU304" s="44">
        <v>0</v>
      </c>
      <c r="AV304" s="44">
        <f>L304</f>
        <v>0</v>
      </c>
    </row>
    <row r="305" spans="4:7" ht="12.75">
      <c r="D305" s="17" t="s">
        <v>469</v>
      </c>
      <c r="F305" s="74">
        <v>4.9</v>
      </c>
      <c r="G305" s="24"/>
    </row>
    <row r="306" spans="1:48" ht="13.5">
      <c r="A306" s="6" t="s">
        <v>110</v>
      </c>
      <c r="B306" s="6" t="s">
        <v>145</v>
      </c>
      <c r="C306" s="6" t="s">
        <v>252</v>
      </c>
      <c r="D306" s="6" t="s">
        <v>545</v>
      </c>
      <c r="E306" s="6" t="s">
        <v>628</v>
      </c>
      <c r="F306" s="73">
        <v>3</v>
      </c>
      <c r="G306" s="29">
        <v>0</v>
      </c>
      <c r="H306" s="22">
        <f>F306*AE306</f>
        <v>0</v>
      </c>
      <c r="I306" s="22">
        <f>J306-H306</f>
        <v>0</v>
      </c>
      <c r="J306" s="22">
        <f>F306*G306</f>
        <v>0</v>
      </c>
      <c r="K306" s="22">
        <v>0</v>
      </c>
      <c r="L306" s="22">
        <f>F306*K306</f>
        <v>0</v>
      </c>
      <c r="M306" s="41" t="s">
        <v>660</v>
      </c>
      <c r="P306" s="44">
        <f>IF(AG306="5",J306,0)</f>
        <v>0</v>
      </c>
      <c r="R306" s="44">
        <f>IF(AG306="1",H306,0)</f>
        <v>0</v>
      </c>
      <c r="S306" s="44">
        <f>IF(AG306="1",I306,0)</f>
        <v>0</v>
      </c>
      <c r="T306" s="44">
        <f>IF(AG306="7",H306,0)</f>
        <v>0</v>
      </c>
      <c r="U306" s="44">
        <f>IF(AG306="7",I306,0)</f>
        <v>0</v>
      </c>
      <c r="V306" s="44">
        <f>IF(AG306="2",H306,0)</f>
        <v>0</v>
      </c>
      <c r="W306" s="44">
        <f>IF(AG306="2",I306,0)</f>
        <v>0</v>
      </c>
      <c r="X306" s="44">
        <f>IF(AG306="0",J306,0)</f>
        <v>0</v>
      </c>
      <c r="Y306" s="36" t="s">
        <v>145</v>
      </c>
      <c r="Z306" s="22">
        <f>IF(AD306=0,J306,0)</f>
        <v>0</v>
      </c>
      <c r="AA306" s="22">
        <f>IF(AD306=15,J306,0)</f>
        <v>0</v>
      </c>
      <c r="AB306" s="22">
        <f>IF(AD306=21,J306,0)</f>
        <v>0</v>
      </c>
      <c r="AD306" s="44">
        <v>21</v>
      </c>
      <c r="AE306" s="44">
        <f>G306*0.620266666666667</f>
        <v>0</v>
      </c>
      <c r="AF306" s="44">
        <f>G306*(1-0.620266666666667)</f>
        <v>0</v>
      </c>
      <c r="AG306" s="41" t="s">
        <v>7</v>
      </c>
      <c r="AM306" s="44">
        <f>F306*AE306</f>
        <v>0</v>
      </c>
      <c r="AN306" s="44">
        <f>F306*AF306</f>
        <v>0</v>
      </c>
      <c r="AO306" s="45" t="s">
        <v>696</v>
      </c>
      <c r="AP306" s="45" t="s">
        <v>717</v>
      </c>
      <c r="AQ306" s="36" t="s">
        <v>718</v>
      </c>
      <c r="AS306" s="44">
        <f>AM306+AN306</f>
        <v>0</v>
      </c>
      <c r="AT306" s="44">
        <f>G306/(100-AU306)*100</f>
        <v>0</v>
      </c>
      <c r="AU306" s="44">
        <v>0</v>
      </c>
      <c r="AV306" s="44">
        <f>L306</f>
        <v>0</v>
      </c>
    </row>
    <row r="307" spans="4:7" ht="12.75">
      <c r="D307" s="17" t="s">
        <v>9</v>
      </c>
      <c r="F307" s="74">
        <v>3</v>
      </c>
      <c r="G307" s="24"/>
    </row>
    <row r="308" spans="1:48" ht="13.5">
      <c r="A308" s="6" t="s">
        <v>111</v>
      </c>
      <c r="B308" s="6" t="s">
        <v>145</v>
      </c>
      <c r="C308" s="6" t="s">
        <v>253</v>
      </c>
      <c r="D308" s="6" t="s">
        <v>546</v>
      </c>
      <c r="E308" s="6" t="s">
        <v>628</v>
      </c>
      <c r="F308" s="73">
        <v>4.9</v>
      </c>
      <c r="G308" s="29">
        <v>0</v>
      </c>
      <c r="H308" s="22">
        <f>F308*AE308</f>
        <v>0</v>
      </c>
      <c r="I308" s="22">
        <f>J308-H308</f>
        <v>0</v>
      </c>
      <c r="J308" s="22">
        <f>F308*G308</f>
        <v>0</v>
      </c>
      <c r="K308" s="22">
        <v>0</v>
      </c>
      <c r="L308" s="22">
        <f>F308*K308</f>
        <v>0</v>
      </c>
      <c r="M308" s="41" t="s">
        <v>660</v>
      </c>
      <c r="P308" s="44">
        <f>IF(AG308="5",J308,0)</f>
        <v>0</v>
      </c>
      <c r="R308" s="44">
        <f>IF(AG308="1",H308,0)</f>
        <v>0</v>
      </c>
      <c r="S308" s="44">
        <f>IF(AG308="1",I308,0)</f>
        <v>0</v>
      </c>
      <c r="T308" s="44">
        <f>IF(AG308="7",H308,0)</f>
        <v>0</v>
      </c>
      <c r="U308" s="44">
        <f>IF(AG308="7",I308,0)</f>
        <v>0</v>
      </c>
      <c r="V308" s="44">
        <f>IF(AG308="2",H308,0)</f>
        <v>0</v>
      </c>
      <c r="W308" s="44">
        <f>IF(AG308="2",I308,0)</f>
        <v>0</v>
      </c>
      <c r="X308" s="44">
        <f>IF(AG308="0",J308,0)</f>
        <v>0</v>
      </c>
      <c r="Y308" s="36" t="s">
        <v>145</v>
      </c>
      <c r="Z308" s="22">
        <f>IF(AD308=0,J308,0)</f>
        <v>0</v>
      </c>
      <c r="AA308" s="22">
        <f>IF(AD308=15,J308,0)</f>
        <v>0</v>
      </c>
      <c r="AB308" s="22">
        <f>IF(AD308=21,J308,0)</f>
        <v>0</v>
      </c>
      <c r="AD308" s="44">
        <v>21</v>
      </c>
      <c r="AE308" s="44">
        <f>G308*0</f>
        <v>0</v>
      </c>
      <c r="AF308" s="44">
        <f>G308*(1-0)</f>
        <v>0</v>
      </c>
      <c r="AG308" s="41" t="s">
        <v>7</v>
      </c>
      <c r="AM308" s="44">
        <f>F308*AE308</f>
        <v>0</v>
      </c>
      <c r="AN308" s="44">
        <f>F308*AF308</f>
        <v>0</v>
      </c>
      <c r="AO308" s="45" t="s">
        <v>696</v>
      </c>
      <c r="AP308" s="45" t="s">
        <v>717</v>
      </c>
      <c r="AQ308" s="36" t="s">
        <v>718</v>
      </c>
      <c r="AS308" s="44">
        <f>AM308+AN308</f>
        <v>0</v>
      </c>
      <c r="AT308" s="44">
        <f>G308/(100-AU308)*100</f>
        <v>0</v>
      </c>
      <c r="AU308" s="44">
        <v>0</v>
      </c>
      <c r="AV308" s="44">
        <f>L308</f>
        <v>0</v>
      </c>
    </row>
    <row r="309" spans="4:7" ht="12.75">
      <c r="D309" s="17" t="s">
        <v>469</v>
      </c>
      <c r="F309" s="74">
        <v>4.9</v>
      </c>
      <c r="G309" s="24"/>
    </row>
    <row r="310" spans="1:48" ht="13.5">
      <c r="A310" s="6" t="s">
        <v>112</v>
      </c>
      <c r="B310" s="6" t="s">
        <v>145</v>
      </c>
      <c r="C310" s="6" t="s">
        <v>254</v>
      </c>
      <c r="D310" s="6" t="s">
        <v>547</v>
      </c>
      <c r="E310" s="6" t="s">
        <v>628</v>
      </c>
      <c r="F310" s="73">
        <v>1.7</v>
      </c>
      <c r="G310" s="29">
        <v>0</v>
      </c>
      <c r="H310" s="22">
        <f>F310*AE310</f>
        <v>0</v>
      </c>
      <c r="I310" s="22">
        <f>J310-H310</f>
        <v>0</v>
      </c>
      <c r="J310" s="22">
        <f>F310*G310</f>
        <v>0</v>
      </c>
      <c r="K310" s="22">
        <v>0.15674</v>
      </c>
      <c r="L310" s="22">
        <f>F310*K310</f>
        <v>0.266458</v>
      </c>
      <c r="M310" s="41" t="s">
        <v>660</v>
      </c>
      <c r="P310" s="44">
        <f>IF(AG310="5",J310,0)</f>
        <v>0</v>
      </c>
      <c r="R310" s="44">
        <f>IF(AG310="1",H310,0)</f>
        <v>0</v>
      </c>
      <c r="S310" s="44">
        <f>IF(AG310="1",I310,0)</f>
        <v>0</v>
      </c>
      <c r="T310" s="44">
        <f>IF(AG310="7",H310,0)</f>
        <v>0</v>
      </c>
      <c r="U310" s="44">
        <f>IF(AG310="7",I310,0)</f>
        <v>0</v>
      </c>
      <c r="V310" s="44">
        <f>IF(AG310="2",H310,0)</f>
        <v>0</v>
      </c>
      <c r="W310" s="44">
        <f>IF(AG310="2",I310,0)</f>
        <v>0</v>
      </c>
      <c r="X310" s="44">
        <f>IF(AG310="0",J310,0)</f>
        <v>0</v>
      </c>
      <c r="Y310" s="36" t="s">
        <v>145</v>
      </c>
      <c r="Z310" s="22">
        <f>IF(AD310=0,J310,0)</f>
        <v>0</v>
      </c>
      <c r="AA310" s="22">
        <f>IF(AD310=15,J310,0)</f>
        <v>0</v>
      </c>
      <c r="AB310" s="22">
        <f>IF(AD310=21,J310,0)</f>
        <v>0</v>
      </c>
      <c r="AD310" s="44">
        <v>21</v>
      </c>
      <c r="AE310" s="44">
        <f>G310*0.517200501253133</f>
        <v>0</v>
      </c>
      <c r="AF310" s="44">
        <f>G310*(1-0.517200501253133)</f>
        <v>0</v>
      </c>
      <c r="AG310" s="41" t="s">
        <v>7</v>
      </c>
      <c r="AM310" s="44">
        <f>F310*AE310</f>
        <v>0</v>
      </c>
      <c r="AN310" s="44">
        <f>F310*AF310</f>
        <v>0</v>
      </c>
      <c r="AO310" s="45" t="s">
        <v>696</v>
      </c>
      <c r="AP310" s="45" t="s">
        <v>717</v>
      </c>
      <c r="AQ310" s="36" t="s">
        <v>718</v>
      </c>
      <c r="AS310" s="44">
        <f>AM310+AN310</f>
        <v>0</v>
      </c>
      <c r="AT310" s="44">
        <f>G310/(100-AU310)*100</f>
        <v>0</v>
      </c>
      <c r="AU310" s="44">
        <v>0</v>
      </c>
      <c r="AV310" s="44">
        <f>L310</f>
        <v>0.266458</v>
      </c>
    </row>
    <row r="311" spans="4:7" ht="12.75">
      <c r="D311" s="18" t="s">
        <v>548</v>
      </c>
      <c r="G311" s="24"/>
    </row>
    <row r="312" spans="4:7" ht="12.75">
      <c r="D312" s="17" t="s">
        <v>549</v>
      </c>
      <c r="F312" s="74">
        <v>1.7</v>
      </c>
      <c r="G312" s="24"/>
    </row>
    <row r="313" spans="1:48" ht="13.5">
      <c r="A313" s="7" t="s">
        <v>113</v>
      </c>
      <c r="B313" s="7" t="s">
        <v>145</v>
      </c>
      <c r="C313" s="7" t="s">
        <v>255</v>
      </c>
      <c r="D313" s="7" t="s">
        <v>550</v>
      </c>
      <c r="E313" s="7" t="s">
        <v>628</v>
      </c>
      <c r="F313" s="75">
        <v>1.785</v>
      </c>
      <c r="G313" s="30">
        <v>0</v>
      </c>
      <c r="H313" s="23">
        <f>F313*AE313</f>
        <v>0</v>
      </c>
      <c r="I313" s="23">
        <f>J313-H313</f>
        <v>0</v>
      </c>
      <c r="J313" s="23">
        <f>F313*G313</f>
        <v>0</v>
      </c>
      <c r="K313" s="23">
        <v>0.104</v>
      </c>
      <c r="L313" s="23">
        <f>F313*K313</f>
        <v>0.18563999999999997</v>
      </c>
      <c r="M313" s="42" t="s">
        <v>660</v>
      </c>
      <c r="P313" s="44">
        <f>IF(AG313="5",J313,0)</f>
        <v>0</v>
      </c>
      <c r="R313" s="44">
        <f>IF(AG313="1",H313,0)</f>
        <v>0</v>
      </c>
      <c r="S313" s="44">
        <f>IF(AG313="1",I313,0)</f>
        <v>0</v>
      </c>
      <c r="T313" s="44">
        <f>IF(AG313="7",H313,0)</f>
        <v>0</v>
      </c>
      <c r="U313" s="44">
        <f>IF(AG313="7",I313,0)</f>
        <v>0</v>
      </c>
      <c r="V313" s="44">
        <f>IF(AG313="2",H313,0)</f>
        <v>0</v>
      </c>
      <c r="W313" s="44">
        <f>IF(AG313="2",I313,0)</f>
        <v>0</v>
      </c>
      <c r="X313" s="44">
        <f>IF(AG313="0",J313,0)</f>
        <v>0</v>
      </c>
      <c r="Y313" s="36" t="s">
        <v>145</v>
      </c>
      <c r="Z313" s="23">
        <f>IF(AD313=0,J313,0)</f>
        <v>0</v>
      </c>
      <c r="AA313" s="23">
        <f>IF(AD313=15,J313,0)</f>
        <v>0</v>
      </c>
      <c r="AB313" s="23">
        <f>IF(AD313=21,J313,0)</f>
        <v>0</v>
      </c>
      <c r="AD313" s="44">
        <v>21</v>
      </c>
      <c r="AE313" s="44">
        <f>G313*1</f>
        <v>0</v>
      </c>
      <c r="AF313" s="44">
        <f>G313*(1-1)</f>
        <v>0</v>
      </c>
      <c r="AG313" s="42" t="s">
        <v>7</v>
      </c>
      <c r="AM313" s="44">
        <f>F313*AE313</f>
        <v>0</v>
      </c>
      <c r="AN313" s="44">
        <f>F313*AF313</f>
        <v>0</v>
      </c>
      <c r="AO313" s="45" t="s">
        <v>696</v>
      </c>
      <c r="AP313" s="45" t="s">
        <v>717</v>
      </c>
      <c r="AQ313" s="36" t="s">
        <v>718</v>
      </c>
      <c r="AS313" s="44">
        <f>AM313+AN313</f>
        <v>0</v>
      </c>
      <c r="AT313" s="44">
        <f>G313/(100-AU313)*100</f>
        <v>0</v>
      </c>
      <c r="AU313" s="44">
        <v>0</v>
      </c>
      <c r="AV313" s="44">
        <f>L313</f>
        <v>0.18563999999999997</v>
      </c>
    </row>
    <row r="314" spans="4:7" ht="12.75">
      <c r="D314" s="17" t="s">
        <v>551</v>
      </c>
      <c r="F314" s="74">
        <v>1.785</v>
      </c>
      <c r="G314" s="24"/>
    </row>
    <row r="315" spans="1:48" ht="13.5">
      <c r="A315" s="6" t="s">
        <v>114</v>
      </c>
      <c r="B315" s="6" t="s">
        <v>145</v>
      </c>
      <c r="C315" s="6" t="s">
        <v>256</v>
      </c>
      <c r="D315" s="6" t="s">
        <v>552</v>
      </c>
      <c r="E315" s="6" t="s">
        <v>628</v>
      </c>
      <c r="F315" s="73">
        <v>349.5</v>
      </c>
      <c r="G315" s="29">
        <v>0</v>
      </c>
      <c r="H315" s="22">
        <f>F315*AE315</f>
        <v>0</v>
      </c>
      <c r="I315" s="22">
        <f>J315-H315</f>
        <v>0</v>
      </c>
      <c r="J315" s="22">
        <f>F315*G315</f>
        <v>0</v>
      </c>
      <c r="K315" s="22">
        <v>0.188</v>
      </c>
      <c r="L315" s="22">
        <f>F315*K315</f>
        <v>65.706</v>
      </c>
      <c r="M315" s="41" t="s">
        <v>660</v>
      </c>
      <c r="P315" s="44">
        <f>IF(AG315="5",J315,0)</f>
        <v>0</v>
      </c>
      <c r="R315" s="44">
        <f>IF(AG315="1",H315,0)</f>
        <v>0</v>
      </c>
      <c r="S315" s="44">
        <f>IF(AG315="1",I315,0)</f>
        <v>0</v>
      </c>
      <c r="T315" s="44">
        <f>IF(AG315="7",H315,0)</f>
        <v>0</v>
      </c>
      <c r="U315" s="44">
        <f>IF(AG315="7",I315,0)</f>
        <v>0</v>
      </c>
      <c r="V315" s="44">
        <f>IF(AG315="2",H315,0)</f>
        <v>0</v>
      </c>
      <c r="W315" s="44">
        <f>IF(AG315="2",I315,0)</f>
        <v>0</v>
      </c>
      <c r="X315" s="44">
        <f>IF(AG315="0",J315,0)</f>
        <v>0</v>
      </c>
      <c r="Y315" s="36" t="s">
        <v>145</v>
      </c>
      <c r="Z315" s="22">
        <f>IF(AD315=0,J315,0)</f>
        <v>0</v>
      </c>
      <c r="AA315" s="22">
        <f>IF(AD315=15,J315,0)</f>
        <v>0</v>
      </c>
      <c r="AB315" s="22">
        <f>IF(AD315=21,J315,0)</f>
        <v>0</v>
      </c>
      <c r="AD315" s="44">
        <v>21</v>
      </c>
      <c r="AE315" s="44">
        <f>G315*0.579732443211375</f>
        <v>0</v>
      </c>
      <c r="AF315" s="44">
        <f>G315*(1-0.579732443211375)</f>
        <v>0</v>
      </c>
      <c r="AG315" s="41" t="s">
        <v>7</v>
      </c>
      <c r="AM315" s="44">
        <f>F315*AE315</f>
        <v>0</v>
      </c>
      <c r="AN315" s="44">
        <f>F315*AF315</f>
        <v>0</v>
      </c>
      <c r="AO315" s="45" t="s">
        <v>696</v>
      </c>
      <c r="AP315" s="45" t="s">
        <v>717</v>
      </c>
      <c r="AQ315" s="36" t="s">
        <v>718</v>
      </c>
      <c r="AS315" s="44">
        <f>AM315+AN315</f>
        <v>0</v>
      </c>
      <c r="AT315" s="44">
        <f>G315/(100-AU315)*100</f>
        <v>0</v>
      </c>
      <c r="AU315" s="44">
        <v>0</v>
      </c>
      <c r="AV315" s="44">
        <f>L315</f>
        <v>65.706</v>
      </c>
    </row>
    <row r="316" spans="4:7" ht="12.75">
      <c r="D316" s="18" t="s">
        <v>548</v>
      </c>
      <c r="G316" s="24"/>
    </row>
    <row r="317" spans="4:7" ht="12.75">
      <c r="D317" s="17" t="s">
        <v>553</v>
      </c>
      <c r="F317" s="74">
        <v>1.5</v>
      </c>
      <c r="G317" s="24"/>
    </row>
    <row r="318" spans="4:7" ht="12.75">
      <c r="D318" s="17" t="s">
        <v>554</v>
      </c>
      <c r="F318" s="74">
        <v>0</v>
      </c>
      <c r="G318" s="24"/>
    </row>
    <row r="319" spans="4:7" ht="12.75">
      <c r="D319" s="17" t="s">
        <v>555</v>
      </c>
      <c r="F319" s="74">
        <v>0</v>
      </c>
      <c r="G319" s="24"/>
    </row>
    <row r="320" spans="4:7" ht="12.75">
      <c r="D320" s="17" t="s">
        <v>556</v>
      </c>
      <c r="F320" s="74">
        <v>348</v>
      </c>
      <c r="G320" s="24"/>
    </row>
    <row r="321" spans="1:48" ht="13.5">
      <c r="A321" s="7" t="s">
        <v>115</v>
      </c>
      <c r="B321" s="7" t="s">
        <v>145</v>
      </c>
      <c r="C321" s="7" t="s">
        <v>257</v>
      </c>
      <c r="D321" s="7" t="s">
        <v>557</v>
      </c>
      <c r="E321" s="7" t="s">
        <v>631</v>
      </c>
      <c r="F321" s="75">
        <v>365.4</v>
      </c>
      <c r="G321" s="30">
        <v>0</v>
      </c>
      <c r="H321" s="23">
        <f>F321*AE321</f>
        <v>0</v>
      </c>
      <c r="I321" s="23">
        <f>J321-H321</f>
        <v>0</v>
      </c>
      <c r="J321" s="23">
        <f>F321*G321</f>
        <v>0</v>
      </c>
      <c r="K321" s="23">
        <v>0.045</v>
      </c>
      <c r="L321" s="23">
        <f>F321*K321</f>
        <v>16.442999999999998</v>
      </c>
      <c r="M321" s="42" t="s">
        <v>660</v>
      </c>
      <c r="P321" s="44">
        <f>IF(AG321="5",J321,0)</f>
        <v>0</v>
      </c>
      <c r="R321" s="44">
        <f>IF(AG321="1",H321,0)</f>
        <v>0</v>
      </c>
      <c r="S321" s="44">
        <f>IF(AG321="1",I321,0)</f>
        <v>0</v>
      </c>
      <c r="T321" s="44">
        <f>IF(AG321="7",H321,0)</f>
        <v>0</v>
      </c>
      <c r="U321" s="44">
        <f>IF(AG321="7",I321,0)</f>
        <v>0</v>
      </c>
      <c r="V321" s="44">
        <f>IF(AG321="2",H321,0)</f>
        <v>0</v>
      </c>
      <c r="W321" s="44">
        <f>IF(AG321="2",I321,0)</f>
        <v>0</v>
      </c>
      <c r="X321" s="44">
        <f>IF(AG321="0",J321,0)</f>
        <v>0</v>
      </c>
      <c r="Y321" s="36" t="s">
        <v>145</v>
      </c>
      <c r="Z321" s="23">
        <f>IF(AD321=0,J321,0)</f>
        <v>0</v>
      </c>
      <c r="AA321" s="23">
        <f>IF(AD321=15,J321,0)</f>
        <v>0</v>
      </c>
      <c r="AB321" s="23">
        <f>IF(AD321=21,J321,0)</f>
        <v>0</v>
      </c>
      <c r="AD321" s="44">
        <v>21</v>
      </c>
      <c r="AE321" s="44">
        <f>G321*1</f>
        <v>0</v>
      </c>
      <c r="AF321" s="44">
        <f>G321*(1-1)</f>
        <v>0</v>
      </c>
      <c r="AG321" s="42" t="s">
        <v>7</v>
      </c>
      <c r="AM321" s="44">
        <f>F321*AE321</f>
        <v>0</v>
      </c>
      <c r="AN321" s="44">
        <f>F321*AF321</f>
        <v>0</v>
      </c>
      <c r="AO321" s="45" t="s">
        <v>696</v>
      </c>
      <c r="AP321" s="45" t="s">
        <v>717</v>
      </c>
      <c r="AQ321" s="36" t="s">
        <v>718</v>
      </c>
      <c r="AS321" s="44">
        <f>AM321+AN321</f>
        <v>0</v>
      </c>
      <c r="AT321" s="44">
        <f>G321/(100-AU321)*100</f>
        <v>0</v>
      </c>
      <c r="AU321" s="44">
        <v>0</v>
      </c>
      <c r="AV321" s="44">
        <f>L321</f>
        <v>16.442999999999998</v>
      </c>
    </row>
    <row r="322" spans="4:7" ht="12.75">
      <c r="D322" s="17" t="s">
        <v>558</v>
      </c>
      <c r="F322" s="74">
        <v>365.4</v>
      </c>
      <c r="G322" s="24"/>
    </row>
    <row r="323" spans="1:48" ht="13.5">
      <c r="A323" s="7" t="s">
        <v>116</v>
      </c>
      <c r="B323" s="7" t="s">
        <v>145</v>
      </c>
      <c r="C323" s="7" t="s">
        <v>258</v>
      </c>
      <c r="D323" s="7" t="s">
        <v>559</v>
      </c>
      <c r="E323" s="7" t="s">
        <v>631</v>
      </c>
      <c r="F323" s="75">
        <v>1.575</v>
      </c>
      <c r="G323" s="30">
        <v>0</v>
      </c>
      <c r="H323" s="23">
        <f>F323*AE323</f>
        <v>0</v>
      </c>
      <c r="I323" s="23">
        <f>J323-H323</f>
        <v>0</v>
      </c>
      <c r="J323" s="23">
        <f>F323*G323</f>
        <v>0</v>
      </c>
      <c r="K323" s="23">
        <v>0.08</v>
      </c>
      <c r="L323" s="23">
        <f>F323*K323</f>
        <v>0.126</v>
      </c>
      <c r="M323" s="42" t="s">
        <v>660</v>
      </c>
      <c r="P323" s="44">
        <f>IF(AG323="5",J323,0)</f>
        <v>0</v>
      </c>
      <c r="R323" s="44">
        <f>IF(AG323="1",H323,0)</f>
        <v>0</v>
      </c>
      <c r="S323" s="44">
        <f>IF(AG323="1",I323,0)</f>
        <v>0</v>
      </c>
      <c r="T323" s="44">
        <f>IF(AG323="7",H323,0)</f>
        <v>0</v>
      </c>
      <c r="U323" s="44">
        <f>IF(AG323="7",I323,0)</f>
        <v>0</v>
      </c>
      <c r="V323" s="44">
        <f>IF(AG323="2",H323,0)</f>
        <v>0</v>
      </c>
      <c r="W323" s="44">
        <f>IF(AG323="2",I323,0)</f>
        <v>0</v>
      </c>
      <c r="X323" s="44">
        <f>IF(AG323="0",J323,0)</f>
        <v>0</v>
      </c>
      <c r="Y323" s="36" t="s">
        <v>145</v>
      </c>
      <c r="Z323" s="23">
        <f>IF(AD323=0,J323,0)</f>
        <v>0</v>
      </c>
      <c r="AA323" s="23">
        <f>IF(AD323=15,J323,0)</f>
        <v>0</v>
      </c>
      <c r="AB323" s="23">
        <f>IF(AD323=21,J323,0)</f>
        <v>0</v>
      </c>
      <c r="AD323" s="44">
        <v>21</v>
      </c>
      <c r="AE323" s="44">
        <f>G323*1</f>
        <v>0</v>
      </c>
      <c r="AF323" s="44">
        <f>G323*(1-1)</f>
        <v>0</v>
      </c>
      <c r="AG323" s="42" t="s">
        <v>7</v>
      </c>
      <c r="AM323" s="44">
        <f>F323*AE323</f>
        <v>0</v>
      </c>
      <c r="AN323" s="44">
        <f>F323*AF323</f>
        <v>0</v>
      </c>
      <c r="AO323" s="45" t="s">
        <v>696</v>
      </c>
      <c r="AP323" s="45" t="s">
        <v>717</v>
      </c>
      <c r="AQ323" s="36" t="s">
        <v>718</v>
      </c>
      <c r="AS323" s="44">
        <f>AM323+AN323</f>
        <v>0</v>
      </c>
      <c r="AT323" s="44">
        <f>G323/(100-AU323)*100</f>
        <v>0</v>
      </c>
      <c r="AU323" s="44">
        <v>0</v>
      </c>
      <c r="AV323" s="44">
        <f>L323</f>
        <v>0.126</v>
      </c>
    </row>
    <row r="324" spans="4:7" ht="12.75">
      <c r="D324" s="17" t="s">
        <v>560</v>
      </c>
      <c r="F324" s="74">
        <v>1.575</v>
      </c>
      <c r="G324" s="24"/>
    </row>
    <row r="325" spans="1:48" ht="13.5">
      <c r="A325" s="6" t="s">
        <v>117</v>
      </c>
      <c r="B325" s="6" t="s">
        <v>145</v>
      </c>
      <c r="C325" s="6" t="s">
        <v>259</v>
      </c>
      <c r="D325" s="6" t="s">
        <v>561</v>
      </c>
      <c r="E325" s="6" t="s">
        <v>631</v>
      </c>
      <c r="F325" s="73">
        <v>6</v>
      </c>
      <c r="G325" s="29">
        <v>0</v>
      </c>
      <c r="H325" s="22">
        <f>F325*AE325</f>
        <v>0</v>
      </c>
      <c r="I325" s="22">
        <f>J325-H325</f>
        <v>0</v>
      </c>
      <c r="J325" s="22">
        <f>F325*G325</f>
        <v>0</v>
      </c>
      <c r="K325" s="22">
        <v>1.61679</v>
      </c>
      <c r="L325" s="22">
        <f>F325*K325</f>
        <v>9.70074</v>
      </c>
      <c r="M325" s="41" t="s">
        <v>660</v>
      </c>
      <c r="P325" s="44">
        <f>IF(AG325="5",J325,0)</f>
        <v>0</v>
      </c>
      <c r="R325" s="44">
        <f>IF(AG325="1",H325,0)</f>
        <v>0</v>
      </c>
      <c r="S325" s="44">
        <f>IF(AG325="1",I325,0)</f>
        <v>0</v>
      </c>
      <c r="T325" s="44">
        <f>IF(AG325="7",H325,0)</f>
        <v>0</v>
      </c>
      <c r="U325" s="44">
        <f>IF(AG325="7",I325,0)</f>
        <v>0</v>
      </c>
      <c r="V325" s="44">
        <f>IF(AG325="2",H325,0)</f>
        <v>0</v>
      </c>
      <c r="W325" s="44">
        <f>IF(AG325="2",I325,0)</f>
        <v>0</v>
      </c>
      <c r="X325" s="44">
        <f>IF(AG325="0",J325,0)</f>
        <v>0</v>
      </c>
      <c r="Y325" s="36" t="s">
        <v>145</v>
      </c>
      <c r="Z325" s="22">
        <f>IF(AD325=0,J325,0)</f>
        <v>0</v>
      </c>
      <c r="AA325" s="22">
        <f>IF(AD325=15,J325,0)</f>
        <v>0</v>
      </c>
      <c r="AB325" s="22">
        <f>IF(AD325=21,J325,0)</f>
        <v>0</v>
      </c>
      <c r="AD325" s="44">
        <v>21</v>
      </c>
      <c r="AE325" s="44">
        <f>G325*0.850417298937785</f>
        <v>0</v>
      </c>
      <c r="AF325" s="44">
        <f>G325*(1-0.850417298937785)</f>
        <v>0</v>
      </c>
      <c r="AG325" s="41" t="s">
        <v>7</v>
      </c>
      <c r="AM325" s="44">
        <f>F325*AE325</f>
        <v>0</v>
      </c>
      <c r="AN325" s="44">
        <f>F325*AF325</f>
        <v>0</v>
      </c>
      <c r="AO325" s="45" t="s">
        <v>696</v>
      </c>
      <c r="AP325" s="45" t="s">
        <v>717</v>
      </c>
      <c r="AQ325" s="36" t="s">
        <v>718</v>
      </c>
      <c r="AS325" s="44">
        <f>AM325+AN325</f>
        <v>0</v>
      </c>
      <c r="AT325" s="44">
        <f>G325/(100-AU325)*100</f>
        <v>0</v>
      </c>
      <c r="AU325" s="44">
        <v>0</v>
      </c>
      <c r="AV325" s="44">
        <f>L325</f>
        <v>9.70074</v>
      </c>
    </row>
    <row r="326" spans="4:7" ht="12.75">
      <c r="D326" s="17" t="s">
        <v>562</v>
      </c>
      <c r="F326" s="74">
        <v>6</v>
      </c>
      <c r="G326" s="24"/>
    </row>
    <row r="327" spans="1:37" ht="13.5">
      <c r="A327" s="5"/>
      <c r="B327" s="14" t="s">
        <v>145</v>
      </c>
      <c r="C327" s="14" t="s">
        <v>260</v>
      </c>
      <c r="D327" s="14" t="s">
        <v>563</v>
      </c>
      <c r="E327" s="5" t="s">
        <v>6</v>
      </c>
      <c r="F327" s="5" t="s">
        <v>6</v>
      </c>
      <c r="G327" s="28" t="s">
        <v>6</v>
      </c>
      <c r="H327" s="47">
        <f>SUM(H328:H340)</f>
        <v>0</v>
      </c>
      <c r="I327" s="47">
        <f>SUM(I328:I340)</f>
        <v>0</v>
      </c>
      <c r="J327" s="47">
        <f>H327+I327</f>
        <v>0</v>
      </c>
      <c r="K327" s="36"/>
      <c r="L327" s="47">
        <f>SUM(L328:L340)</f>
        <v>0.2551</v>
      </c>
      <c r="M327" s="36"/>
      <c r="Y327" s="36" t="s">
        <v>145</v>
      </c>
      <c r="AI327" s="47">
        <f>SUM(Z328:Z340)</f>
        <v>0</v>
      </c>
      <c r="AJ327" s="47">
        <f>SUM(AA328:AA340)</f>
        <v>0</v>
      </c>
      <c r="AK327" s="47">
        <f>SUM(AB328:AB340)</f>
        <v>0</v>
      </c>
    </row>
    <row r="328" spans="1:48" ht="13.5">
      <c r="A328" s="6" t="s">
        <v>118</v>
      </c>
      <c r="B328" s="6" t="s">
        <v>145</v>
      </c>
      <c r="C328" s="6" t="s">
        <v>261</v>
      </c>
      <c r="D328" s="6" t="s">
        <v>564</v>
      </c>
      <c r="E328" s="6" t="s">
        <v>631</v>
      </c>
      <c r="F328" s="73">
        <v>1</v>
      </c>
      <c r="G328" s="29">
        <v>0</v>
      </c>
      <c r="H328" s="22">
        <f>F328*AE328</f>
        <v>0</v>
      </c>
      <c r="I328" s="22">
        <f>J328-H328</f>
        <v>0</v>
      </c>
      <c r="J328" s="22">
        <f>F328*G328</f>
        <v>0</v>
      </c>
      <c r="K328" s="22">
        <v>0.25</v>
      </c>
      <c r="L328" s="22">
        <f>F328*K328</f>
        <v>0.25</v>
      </c>
      <c r="M328" s="41" t="s">
        <v>660</v>
      </c>
      <c r="P328" s="44">
        <f>IF(AG328="5",J328,0)</f>
        <v>0</v>
      </c>
      <c r="R328" s="44">
        <f>IF(AG328="1",H328,0)</f>
        <v>0</v>
      </c>
      <c r="S328" s="44">
        <f>IF(AG328="1",I328,0)</f>
        <v>0</v>
      </c>
      <c r="T328" s="44">
        <f>IF(AG328="7",H328,0)</f>
        <v>0</v>
      </c>
      <c r="U328" s="44">
        <f>IF(AG328="7",I328,0)</f>
        <v>0</v>
      </c>
      <c r="V328" s="44">
        <f>IF(AG328="2",H328,0)</f>
        <v>0</v>
      </c>
      <c r="W328" s="44">
        <f>IF(AG328="2",I328,0)</f>
        <v>0</v>
      </c>
      <c r="X328" s="44">
        <f>IF(AG328="0",J328,0)</f>
        <v>0</v>
      </c>
      <c r="Y328" s="36" t="s">
        <v>145</v>
      </c>
      <c r="Z328" s="22">
        <f>IF(AD328=0,J328,0)</f>
        <v>0</v>
      </c>
      <c r="AA328" s="22">
        <f>IF(AD328=15,J328,0)</f>
        <v>0</v>
      </c>
      <c r="AB328" s="22">
        <f>IF(AD328=21,J328,0)</f>
        <v>0</v>
      </c>
      <c r="AD328" s="44">
        <v>21</v>
      </c>
      <c r="AE328" s="44">
        <f>G328*0.414742268041237</f>
        <v>0</v>
      </c>
      <c r="AF328" s="44">
        <f>G328*(1-0.414742268041237)</f>
        <v>0</v>
      </c>
      <c r="AG328" s="41" t="s">
        <v>7</v>
      </c>
      <c r="AM328" s="44">
        <f>F328*AE328</f>
        <v>0</v>
      </c>
      <c r="AN328" s="44">
        <f>F328*AF328</f>
        <v>0</v>
      </c>
      <c r="AO328" s="45" t="s">
        <v>697</v>
      </c>
      <c r="AP328" s="45" t="s">
        <v>717</v>
      </c>
      <c r="AQ328" s="36" t="s">
        <v>718</v>
      </c>
      <c r="AS328" s="44">
        <f>AM328+AN328</f>
        <v>0</v>
      </c>
      <c r="AT328" s="44">
        <f>G328/(100-AU328)*100</f>
        <v>0</v>
      </c>
      <c r="AU328" s="44">
        <v>0</v>
      </c>
      <c r="AV328" s="44">
        <f>L328</f>
        <v>0.25</v>
      </c>
    </row>
    <row r="329" spans="4:7" ht="12.75">
      <c r="D329" s="17" t="s">
        <v>565</v>
      </c>
      <c r="F329" s="74">
        <v>1</v>
      </c>
      <c r="G329" s="24"/>
    </row>
    <row r="330" spans="1:48" ht="13.5">
      <c r="A330" s="7" t="s">
        <v>119</v>
      </c>
      <c r="B330" s="7" t="s">
        <v>145</v>
      </c>
      <c r="C330" s="7" t="s">
        <v>262</v>
      </c>
      <c r="D330" s="7" t="s">
        <v>566</v>
      </c>
      <c r="E330" s="7" t="s">
        <v>631</v>
      </c>
      <c r="F330" s="75">
        <v>1</v>
      </c>
      <c r="G330" s="30">
        <v>0</v>
      </c>
      <c r="H330" s="23">
        <f>F330*AE330</f>
        <v>0</v>
      </c>
      <c r="I330" s="23">
        <f>J330-H330</f>
        <v>0</v>
      </c>
      <c r="J330" s="23">
        <f>F330*G330</f>
        <v>0</v>
      </c>
      <c r="K330" s="23">
        <v>0</v>
      </c>
      <c r="L330" s="23">
        <f>F330*K330</f>
        <v>0</v>
      </c>
      <c r="M330" s="42" t="s">
        <v>660</v>
      </c>
      <c r="P330" s="44">
        <f>IF(AG330="5",J330,0)</f>
        <v>0</v>
      </c>
      <c r="R330" s="44">
        <f>IF(AG330="1",H330,0)</f>
        <v>0</v>
      </c>
      <c r="S330" s="44">
        <f>IF(AG330="1",I330,0)</f>
        <v>0</v>
      </c>
      <c r="T330" s="44">
        <f>IF(AG330="7",H330,0)</f>
        <v>0</v>
      </c>
      <c r="U330" s="44">
        <f>IF(AG330="7",I330,0)</f>
        <v>0</v>
      </c>
      <c r="V330" s="44">
        <f>IF(AG330="2",H330,0)</f>
        <v>0</v>
      </c>
      <c r="W330" s="44">
        <f>IF(AG330="2",I330,0)</f>
        <v>0</v>
      </c>
      <c r="X330" s="44">
        <f>IF(AG330="0",J330,0)</f>
        <v>0</v>
      </c>
      <c r="Y330" s="36" t="s">
        <v>145</v>
      </c>
      <c r="Z330" s="23">
        <f>IF(AD330=0,J330,0)</f>
        <v>0</v>
      </c>
      <c r="AA330" s="23">
        <f>IF(AD330=15,J330,0)</f>
        <v>0</v>
      </c>
      <c r="AB330" s="23">
        <f>IF(AD330=21,J330,0)</f>
        <v>0</v>
      </c>
      <c r="AD330" s="44">
        <v>21</v>
      </c>
      <c r="AE330" s="44">
        <f>G330*1</f>
        <v>0</v>
      </c>
      <c r="AF330" s="44">
        <f>G330*(1-1)</f>
        <v>0</v>
      </c>
      <c r="AG330" s="42" t="s">
        <v>7</v>
      </c>
      <c r="AM330" s="44">
        <f>F330*AE330</f>
        <v>0</v>
      </c>
      <c r="AN330" s="44">
        <f>F330*AF330</f>
        <v>0</v>
      </c>
      <c r="AO330" s="45" t="s">
        <v>697</v>
      </c>
      <c r="AP330" s="45" t="s">
        <v>717</v>
      </c>
      <c r="AQ330" s="36" t="s">
        <v>718</v>
      </c>
      <c r="AS330" s="44">
        <f>AM330+AN330</f>
        <v>0</v>
      </c>
      <c r="AT330" s="44">
        <f>G330/(100-AU330)*100</f>
        <v>0</v>
      </c>
      <c r="AU330" s="44">
        <v>0</v>
      </c>
      <c r="AV330" s="44">
        <f>L330</f>
        <v>0</v>
      </c>
    </row>
    <row r="331" spans="4:7" ht="12.75">
      <c r="D331" s="17" t="s">
        <v>7</v>
      </c>
      <c r="F331" s="74">
        <v>1</v>
      </c>
      <c r="G331" s="24"/>
    </row>
    <row r="332" spans="1:48" ht="13.5">
      <c r="A332" s="6" t="s">
        <v>120</v>
      </c>
      <c r="B332" s="6" t="s">
        <v>145</v>
      </c>
      <c r="C332" s="6" t="s">
        <v>263</v>
      </c>
      <c r="D332" s="6" t="s">
        <v>567</v>
      </c>
      <c r="E332" s="6" t="s">
        <v>631</v>
      </c>
      <c r="F332" s="73">
        <v>1</v>
      </c>
      <c r="G332" s="29">
        <v>0</v>
      </c>
      <c r="H332" s="22">
        <f>F332*AE332</f>
        <v>0</v>
      </c>
      <c r="I332" s="22">
        <f>J332-H332</f>
        <v>0</v>
      </c>
      <c r="J332" s="22">
        <f>F332*G332</f>
        <v>0</v>
      </c>
      <c r="K332" s="22">
        <v>0</v>
      </c>
      <c r="L332" s="22">
        <f>F332*K332</f>
        <v>0</v>
      </c>
      <c r="M332" s="41" t="s">
        <v>660</v>
      </c>
      <c r="P332" s="44">
        <f>IF(AG332="5",J332,0)</f>
        <v>0</v>
      </c>
      <c r="R332" s="44">
        <f>IF(AG332="1",H332,0)</f>
        <v>0</v>
      </c>
      <c r="S332" s="44">
        <f>IF(AG332="1",I332,0)</f>
        <v>0</v>
      </c>
      <c r="T332" s="44">
        <f>IF(AG332="7",H332,0)</f>
        <v>0</v>
      </c>
      <c r="U332" s="44">
        <f>IF(AG332="7",I332,0)</f>
        <v>0</v>
      </c>
      <c r="V332" s="44">
        <f>IF(AG332="2",H332,0)</f>
        <v>0</v>
      </c>
      <c r="W332" s="44">
        <f>IF(AG332="2",I332,0)</f>
        <v>0</v>
      </c>
      <c r="X332" s="44">
        <f>IF(AG332="0",J332,0)</f>
        <v>0</v>
      </c>
      <c r="Y332" s="36" t="s">
        <v>145</v>
      </c>
      <c r="Z332" s="22">
        <f>IF(AD332=0,J332,0)</f>
        <v>0</v>
      </c>
      <c r="AA332" s="22">
        <f>IF(AD332=15,J332,0)</f>
        <v>0</v>
      </c>
      <c r="AB332" s="22">
        <f>IF(AD332=21,J332,0)</f>
        <v>0</v>
      </c>
      <c r="AD332" s="44">
        <v>21</v>
      </c>
      <c r="AE332" s="44">
        <f>G332*0.620760869565217</f>
        <v>0</v>
      </c>
      <c r="AF332" s="44">
        <f>G332*(1-0.620760869565217)</f>
        <v>0</v>
      </c>
      <c r="AG332" s="41" t="s">
        <v>7</v>
      </c>
      <c r="AM332" s="44">
        <f>F332*AE332</f>
        <v>0</v>
      </c>
      <c r="AN332" s="44">
        <f>F332*AF332</f>
        <v>0</v>
      </c>
      <c r="AO332" s="45" t="s">
        <v>697</v>
      </c>
      <c r="AP332" s="45" t="s">
        <v>717</v>
      </c>
      <c r="AQ332" s="36" t="s">
        <v>718</v>
      </c>
      <c r="AS332" s="44">
        <f>AM332+AN332</f>
        <v>0</v>
      </c>
      <c r="AT332" s="44">
        <f>G332/(100-AU332)*100</f>
        <v>0</v>
      </c>
      <c r="AU332" s="44">
        <v>0</v>
      </c>
      <c r="AV332" s="44">
        <f>L332</f>
        <v>0</v>
      </c>
    </row>
    <row r="333" spans="4:7" ht="12.75">
      <c r="D333" s="17" t="s">
        <v>568</v>
      </c>
      <c r="F333" s="74">
        <v>0</v>
      </c>
      <c r="G333" s="24"/>
    </row>
    <row r="334" spans="4:7" ht="12.75">
      <c r="D334" s="17" t="s">
        <v>569</v>
      </c>
      <c r="F334" s="74">
        <v>0</v>
      </c>
      <c r="G334" s="24"/>
    </row>
    <row r="335" spans="4:7" ht="12.75">
      <c r="D335" s="17" t="s">
        <v>570</v>
      </c>
      <c r="F335" s="74">
        <v>0</v>
      </c>
      <c r="G335" s="24"/>
    </row>
    <row r="336" spans="4:7" ht="12.75">
      <c r="D336" s="17" t="s">
        <v>571</v>
      </c>
      <c r="F336" s="74">
        <v>0</v>
      </c>
      <c r="G336" s="24"/>
    </row>
    <row r="337" spans="4:7" ht="12.75">
      <c r="D337" s="17" t="s">
        <v>572</v>
      </c>
      <c r="F337" s="74">
        <v>0</v>
      </c>
      <c r="G337" s="24"/>
    </row>
    <row r="338" spans="4:7" ht="12.75">
      <c r="D338" s="17" t="s">
        <v>573</v>
      </c>
      <c r="F338" s="74">
        <v>0</v>
      </c>
      <c r="G338" s="24"/>
    </row>
    <row r="339" spans="4:7" ht="12.75">
      <c r="D339" s="17" t="s">
        <v>574</v>
      </c>
      <c r="F339" s="74">
        <v>1</v>
      </c>
      <c r="G339" s="24"/>
    </row>
    <row r="340" spans="1:48" ht="13.5">
      <c r="A340" s="7" t="s">
        <v>121</v>
      </c>
      <c r="B340" s="7" t="s">
        <v>145</v>
      </c>
      <c r="C340" s="7" t="s">
        <v>264</v>
      </c>
      <c r="D340" s="7" t="s">
        <v>575</v>
      </c>
      <c r="E340" s="7" t="s">
        <v>631</v>
      </c>
      <c r="F340" s="75">
        <v>1</v>
      </c>
      <c r="G340" s="30">
        <v>0</v>
      </c>
      <c r="H340" s="23">
        <f>F340*AE340</f>
        <v>0</v>
      </c>
      <c r="I340" s="23">
        <f>J340-H340</f>
        <v>0</v>
      </c>
      <c r="J340" s="23">
        <f>F340*G340</f>
        <v>0</v>
      </c>
      <c r="K340" s="23">
        <v>0.0051</v>
      </c>
      <c r="L340" s="23">
        <f>F340*K340</f>
        <v>0.0051</v>
      </c>
      <c r="M340" s="42" t="s">
        <v>660</v>
      </c>
      <c r="P340" s="44">
        <f>IF(AG340="5",J340,0)</f>
        <v>0</v>
      </c>
      <c r="R340" s="44">
        <f>IF(AG340="1",H340,0)</f>
        <v>0</v>
      </c>
      <c r="S340" s="44">
        <f>IF(AG340="1",I340,0)</f>
        <v>0</v>
      </c>
      <c r="T340" s="44">
        <f>IF(AG340="7",H340,0)</f>
        <v>0</v>
      </c>
      <c r="U340" s="44">
        <f>IF(AG340="7",I340,0)</f>
        <v>0</v>
      </c>
      <c r="V340" s="44">
        <f>IF(AG340="2",H340,0)</f>
        <v>0</v>
      </c>
      <c r="W340" s="44">
        <f>IF(AG340="2",I340,0)</f>
        <v>0</v>
      </c>
      <c r="X340" s="44">
        <f>IF(AG340="0",J340,0)</f>
        <v>0</v>
      </c>
      <c r="Y340" s="36" t="s">
        <v>145</v>
      </c>
      <c r="Z340" s="23">
        <f>IF(AD340=0,J340,0)</f>
        <v>0</v>
      </c>
      <c r="AA340" s="23">
        <f>IF(AD340=15,J340,0)</f>
        <v>0</v>
      </c>
      <c r="AB340" s="23">
        <f>IF(AD340=21,J340,0)</f>
        <v>0</v>
      </c>
      <c r="AD340" s="44">
        <v>21</v>
      </c>
      <c r="AE340" s="44">
        <f>G340*1</f>
        <v>0</v>
      </c>
      <c r="AF340" s="44">
        <f>G340*(1-1)</f>
        <v>0</v>
      </c>
      <c r="AG340" s="42" t="s">
        <v>7</v>
      </c>
      <c r="AM340" s="44">
        <f>F340*AE340</f>
        <v>0</v>
      </c>
      <c r="AN340" s="44">
        <f>F340*AF340</f>
        <v>0</v>
      </c>
      <c r="AO340" s="45" t="s">
        <v>697</v>
      </c>
      <c r="AP340" s="45" t="s">
        <v>717</v>
      </c>
      <c r="AQ340" s="36" t="s">
        <v>718</v>
      </c>
      <c r="AS340" s="44">
        <f>AM340+AN340</f>
        <v>0</v>
      </c>
      <c r="AT340" s="44">
        <f>G340/(100-AU340)*100</f>
        <v>0</v>
      </c>
      <c r="AU340" s="44">
        <v>0</v>
      </c>
      <c r="AV340" s="44">
        <f>L340</f>
        <v>0.0051</v>
      </c>
    </row>
    <row r="341" spans="4:7" ht="12.75">
      <c r="D341" s="17" t="s">
        <v>7</v>
      </c>
      <c r="F341" s="74">
        <v>1</v>
      </c>
      <c r="G341" s="24"/>
    </row>
    <row r="342" spans="1:37" ht="13.5">
      <c r="A342" s="5"/>
      <c r="B342" s="14" t="s">
        <v>145</v>
      </c>
      <c r="C342" s="14" t="s">
        <v>265</v>
      </c>
      <c r="D342" s="14" t="s">
        <v>576</v>
      </c>
      <c r="E342" s="5" t="s">
        <v>6</v>
      </c>
      <c r="F342" s="5" t="s">
        <v>6</v>
      </c>
      <c r="G342" s="28" t="s">
        <v>6</v>
      </c>
      <c r="H342" s="47">
        <f>SUM(H343:H343)</f>
        <v>0</v>
      </c>
      <c r="I342" s="47">
        <f>SUM(I343:I343)</f>
        <v>0</v>
      </c>
      <c r="J342" s="47">
        <f>H342+I342</f>
        <v>0</v>
      </c>
      <c r="K342" s="36"/>
      <c r="L342" s="47">
        <f>SUM(L343:L343)</f>
        <v>0</v>
      </c>
      <c r="M342" s="36"/>
      <c r="Y342" s="36" t="s">
        <v>145</v>
      </c>
      <c r="AI342" s="47">
        <f>SUM(Z343:Z343)</f>
        <v>0</v>
      </c>
      <c r="AJ342" s="47">
        <f>SUM(AA343:AA343)</f>
        <v>0</v>
      </c>
      <c r="AK342" s="47">
        <f>SUM(AB343:AB343)</f>
        <v>0</v>
      </c>
    </row>
    <row r="343" spans="1:48" ht="13.5">
      <c r="A343" s="6" t="s">
        <v>122</v>
      </c>
      <c r="B343" s="6" t="s">
        <v>145</v>
      </c>
      <c r="C343" s="6" t="s">
        <v>266</v>
      </c>
      <c r="D343" s="6" t="s">
        <v>577</v>
      </c>
      <c r="E343" s="6" t="s">
        <v>635</v>
      </c>
      <c r="F343" s="73">
        <v>2.5</v>
      </c>
      <c r="G343" s="29">
        <v>0</v>
      </c>
      <c r="H343" s="22">
        <f>F343*AE343</f>
        <v>0</v>
      </c>
      <c r="I343" s="22">
        <f>J343-H343</f>
        <v>0</v>
      </c>
      <c r="J343" s="22">
        <f>F343*G343</f>
        <v>0</v>
      </c>
      <c r="K343" s="22">
        <v>0</v>
      </c>
      <c r="L343" s="22">
        <f>F343*K343</f>
        <v>0</v>
      </c>
      <c r="M343" s="41"/>
      <c r="P343" s="44">
        <f>IF(AG343="5",J343,0)</f>
        <v>0</v>
      </c>
      <c r="R343" s="44">
        <f>IF(AG343="1",H343,0)</f>
        <v>0</v>
      </c>
      <c r="S343" s="44">
        <f>IF(AG343="1",I343,0)</f>
        <v>0</v>
      </c>
      <c r="T343" s="44">
        <f>IF(AG343="7",H343,0)</f>
        <v>0</v>
      </c>
      <c r="U343" s="44">
        <f>IF(AG343="7",I343,0)</f>
        <v>0</v>
      </c>
      <c r="V343" s="44">
        <f>IF(AG343="2",H343,0)</f>
        <v>0</v>
      </c>
      <c r="W343" s="44">
        <f>IF(AG343="2",I343,0)</f>
        <v>0</v>
      </c>
      <c r="X343" s="44">
        <f>IF(AG343="0",J343,0)</f>
        <v>0</v>
      </c>
      <c r="Y343" s="36" t="s">
        <v>145</v>
      </c>
      <c r="Z343" s="22">
        <f>IF(AD343=0,J343,0)</f>
        <v>0</v>
      </c>
      <c r="AA343" s="22">
        <f>IF(AD343=15,J343,0)</f>
        <v>0</v>
      </c>
      <c r="AB343" s="22">
        <f>IF(AD343=21,J343,0)</f>
        <v>0</v>
      </c>
      <c r="AD343" s="44">
        <v>21</v>
      </c>
      <c r="AE343" s="44">
        <f>G343*0</f>
        <v>0</v>
      </c>
      <c r="AF343" s="44">
        <f>G343*(1-0)</f>
        <v>0</v>
      </c>
      <c r="AG343" s="41" t="s">
        <v>7</v>
      </c>
      <c r="AM343" s="44">
        <f>F343*AE343</f>
        <v>0</v>
      </c>
      <c r="AN343" s="44">
        <f>F343*AF343</f>
        <v>0</v>
      </c>
      <c r="AO343" s="45" t="s">
        <v>698</v>
      </c>
      <c r="AP343" s="45" t="s">
        <v>717</v>
      </c>
      <c r="AQ343" s="36" t="s">
        <v>718</v>
      </c>
      <c r="AS343" s="44">
        <f>AM343+AN343</f>
        <v>0</v>
      </c>
      <c r="AT343" s="44">
        <f>G343/(100-AU343)*100</f>
        <v>0</v>
      </c>
      <c r="AU343" s="44">
        <v>0</v>
      </c>
      <c r="AV343" s="44">
        <f>L343</f>
        <v>0</v>
      </c>
    </row>
    <row r="344" spans="4:7" ht="12.75">
      <c r="D344" s="17" t="s">
        <v>578</v>
      </c>
      <c r="F344" s="74">
        <v>2.5</v>
      </c>
      <c r="G344" s="24"/>
    </row>
    <row r="345" spans="1:37" ht="13.5">
      <c r="A345" s="5"/>
      <c r="B345" s="14" t="s">
        <v>145</v>
      </c>
      <c r="C345" s="14" t="s">
        <v>267</v>
      </c>
      <c r="D345" s="14" t="s">
        <v>579</v>
      </c>
      <c r="E345" s="5" t="s">
        <v>6</v>
      </c>
      <c r="F345" s="5" t="s">
        <v>6</v>
      </c>
      <c r="G345" s="28" t="s">
        <v>6</v>
      </c>
      <c r="H345" s="47">
        <f>SUM(H346:H346)</f>
        <v>0</v>
      </c>
      <c r="I345" s="47">
        <f>SUM(I346:I346)</f>
        <v>0</v>
      </c>
      <c r="J345" s="47">
        <f>H345+I345</f>
        <v>0</v>
      </c>
      <c r="K345" s="36"/>
      <c r="L345" s="47">
        <f>SUM(L346:L346)</f>
        <v>0</v>
      </c>
      <c r="M345" s="36"/>
      <c r="Y345" s="36" t="s">
        <v>145</v>
      </c>
      <c r="AI345" s="47">
        <f>SUM(Z346:Z346)</f>
        <v>0</v>
      </c>
      <c r="AJ345" s="47">
        <f>SUM(AA346:AA346)</f>
        <v>0</v>
      </c>
      <c r="AK345" s="47">
        <f>SUM(AB346:AB346)</f>
        <v>0</v>
      </c>
    </row>
    <row r="346" spans="1:48" ht="13.5">
      <c r="A346" s="6" t="s">
        <v>123</v>
      </c>
      <c r="B346" s="6" t="s">
        <v>145</v>
      </c>
      <c r="C346" s="6" t="s">
        <v>268</v>
      </c>
      <c r="D346" s="6" t="s">
        <v>580</v>
      </c>
      <c r="E346" s="6" t="s">
        <v>628</v>
      </c>
      <c r="F346" s="73">
        <v>4.9</v>
      </c>
      <c r="G346" s="29">
        <v>0</v>
      </c>
      <c r="H346" s="22">
        <f>F346*AE346</f>
        <v>0</v>
      </c>
      <c r="I346" s="22">
        <f>J346-H346</f>
        <v>0</v>
      </c>
      <c r="J346" s="22">
        <f>F346*G346</f>
        <v>0</v>
      </c>
      <c r="K346" s="22">
        <v>0</v>
      </c>
      <c r="L346" s="22">
        <f>F346*K346</f>
        <v>0</v>
      </c>
      <c r="M346" s="41" t="s">
        <v>661</v>
      </c>
      <c r="P346" s="44">
        <f>IF(AG346="5",J346,0)</f>
        <v>0</v>
      </c>
      <c r="R346" s="44">
        <f>IF(AG346="1",H346,0)</f>
        <v>0</v>
      </c>
      <c r="S346" s="44">
        <f>IF(AG346="1",I346,0)</f>
        <v>0</v>
      </c>
      <c r="T346" s="44">
        <f>IF(AG346="7",H346,0)</f>
        <v>0</v>
      </c>
      <c r="U346" s="44">
        <f>IF(AG346="7",I346,0)</f>
        <v>0</v>
      </c>
      <c r="V346" s="44">
        <f>IF(AG346="2",H346,0)</f>
        <v>0</v>
      </c>
      <c r="W346" s="44">
        <f>IF(AG346="2",I346,0)</f>
        <v>0</v>
      </c>
      <c r="X346" s="44">
        <f>IF(AG346="0",J346,0)</f>
        <v>0</v>
      </c>
      <c r="Y346" s="36" t="s">
        <v>145</v>
      </c>
      <c r="Z346" s="22">
        <f>IF(AD346=0,J346,0)</f>
        <v>0</v>
      </c>
      <c r="AA346" s="22">
        <f>IF(AD346=15,J346,0)</f>
        <v>0</v>
      </c>
      <c r="AB346" s="22">
        <f>IF(AD346=21,J346,0)</f>
        <v>0</v>
      </c>
      <c r="AD346" s="44">
        <v>21</v>
      </c>
      <c r="AE346" s="44">
        <f>G346*0</f>
        <v>0</v>
      </c>
      <c r="AF346" s="44">
        <f>G346*(1-0)</f>
        <v>0</v>
      </c>
      <c r="AG346" s="41" t="s">
        <v>7</v>
      </c>
      <c r="AM346" s="44">
        <f>F346*AE346</f>
        <v>0</v>
      </c>
      <c r="AN346" s="44">
        <f>F346*AF346</f>
        <v>0</v>
      </c>
      <c r="AO346" s="45" t="s">
        <v>699</v>
      </c>
      <c r="AP346" s="45" t="s">
        <v>717</v>
      </c>
      <c r="AQ346" s="36" t="s">
        <v>718</v>
      </c>
      <c r="AS346" s="44">
        <f>AM346+AN346</f>
        <v>0</v>
      </c>
      <c r="AT346" s="44">
        <f>G346/(100-AU346)*100</f>
        <v>0</v>
      </c>
      <c r="AU346" s="44">
        <v>0</v>
      </c>
      <c r="AV346" s="44">
        <f>L346</f>
        <v>0</v>
      </c>
    </row>
    <row r="347" spans="4:7" ht="12.75">
      <c r="D347" s="17" t="s">
        <v>469</v>
      </c>
      <c r="F347" s="74">
        <v>4.9</v>
      </c>
      <c r="G347" s="24"/>
    </row>
    <row r="348" spans="1:37" ht="13.5">
      <c r="A348" s="5"/>
      <c r="B348" s="14" t="s">
        <v>145</v>
      </c>
      <c r="C348" s="14" t="s">
        <v>99</v>
      </c>
      <c r="D348" s="14" t="s">
        <v>581</v>
      </c>
      <c r="E348" s="5" t="s">
        <v>6</v>
      </c>
      <c r="F348" s="5" t="s">
        <v>6</v>
      </c>
      <c r="G348" s="28" t="s">
        <v>6</v>
      </c>
      <c r="H348" s="47">
        <f>SUM(H349:H351)</f>
        <v>0</v>
      </c>
      <c r="I348" s="47">
        <f>SUM(I349:I351)</f>
        <v>0</v>
      </c>
      <c r="J348" s="47">
        <f>H348+I348</f>
        <v>0</v>
      </c>
      <c r="K348" s="36"/>
      <c r="L348" s="47">
        <f>SUM(L349:L351)</f>
        <v>17.583675</v>
      </c>
      <c r="M348" s="36"/>
      <c r="Y348" s="36" t="s">
        <v>145</v>
      </c>
      <c r="AI348" s="47">
        <f>SUM(Z349:Z351)</f>
        <v>0</v>
      </c>
      <c r="AJ348" s="47">
        <f>SUM(AA349:AA351)</f>
        <v>0</v>
      </c>
      <c r="AK348" s="47">
        <f>SUM(AB349:AB351)</f>
        <v>0</v>
      </c>
    </row>
    <row r="349" spans="1:48" ht="13.5">
      <c r="A349" s="6" t="s">
        <v>124</v>
      </c>
      <c r="B349" s="6" t="s">
        <v>145</v>
      </c>
      <c r="C349" s="6" t="s">
        <v>269</v>
      </c>
      <c r="D349" s="6" t="s">
        <v>582</v>
      </c>
      <c r="E349" s="6" t="s">
        <v>628</v>
      </c>
      <c r="F349" s="73">
        <v>97</v>
      </c>
      <c r="G349" s="29">
        <v>0</v>
      </c>
      <c r="H349" s="22">
        <f>F349*AE349</f>
        <v>0</v>
      </c>
      <c r="I349" s="22">
        <f>J349-H349</f>
        <v>0</v>
      </c>
      <c r="J349" s="22">
        <f>F349*G349</f>
        <v>0</v>
      </c>
      <c r="K349" s="22">
        <v>0.14565</v>
      </c>
      <c r="L349" s="22">
        <f>F349*K349</f>
        <v>14.12805</v>
      </c>
      <c r="M349" s="41" t="s">
        <v>660</v>
      </c>
      <c r="P349" s="44">
        <f>IF(AG349="5",J349,0)</f>
        <v>0</v>
      </c>
      <c r="R349" s="44">
        <f>IF(AG349="1",H349,0)</f>
        <v>0</v>
      </c>
      <c r="S349" s="44">
        <f>IF(AG349="1",I349,0)</f>
        <v>0</v>
      </c>
      <c r="T349" s="44">
        <f>IF(AG349="7",H349,0)</f>
        <v>0</v>
      </c>
      <c r="U349" s="44">
        <f>IF(AG349="7",I349,0)</f>
        <v>0</v>
      </c>
      <c r="V349" s="44">
        <f>IF(AG349="2",H349,0)</f>
        <v>0</v>
      </c>
      <c r="W349" s="44">
        <f>IF(AG349="2",I349,0)</f>
        <v>0</v>
      </c>
      <c r="X349" s="44">
        <f>IF(AG349="0",J349,0)</f>
        <v>0</v>
      </c>
      <c r="Y349" s="36" t="s">
        <v>145</v>
      </c>
      <c r="Z349" s="22">
        <f>IF(AD349=0,J349,0)</f>
        <v>0</v>
      </c>
      <c r="AA349" s="22">
        <f>IF(AD349=15,J349,0)</f>
        <v>0</v>
      </c>
      <c r="AB349" s="22">
        <f>IF(AD349=21,J349,0)</f>
        <v>0</v>
      </c>
      <c r="AD349" s="44">
        <v>21</v>
      </c>
      <c r="AE349" s="44">
        <f>G349*0.642</f>
        <v>0</v>
      </c>
      <c r="AF349" s="44">
        <f>G349*(1-0.642)</f>
        <v>0</v>
      </c>
      <c r="AG349" s="41" t="s">
        <v>7</v>
      </c>
      <c r="AM349" s="44">
        <f>F349*AE349</f>
        <v>0</v>
      </c>
      <c r="AN349" s="44">
        <f>F349*AF349</f>
        <v>0</v>
      </c>
      <c r="AO349" s="45" t="s">
        <v>700</v>
      </c>
      <c r="AP349" s="45" t="s">
        <v>717</v>
      </c>
      <c r="AQ349" s="36" t="s">
        <v>718</v>
      </c>
      <c r="AS349" s="44">
        <f>AM349+AN349</f>
        <v>0</v>
      </c>
      <c r="AT349" s="44">
        <f>G349/(100-AU349)*100</f>
        <v>0</v>
      </c>
      <c r="AU349" s="44">
        <v>0</v>
      </c>
      <c r="AV349" s="44">
        <f>L349</f>
        <v>14.12805</v>
      </c>
    </row>
    <row r="350" spans="4:7" ht="12.75">
      <c r="D350" s="17" t="s">
        <v>103</v>
      </c>
      <c r="F350" s="74">
        <v>97</v>
      </c>
      <c r="G350" s="24"/>
    </row>
    <row r="351" spans="1:48" ht="13.5">
      <c r="A351" s="7" t="s">
        <v>125</v>
      </c>
      <c r="B351" s="7" t="s">
        <v>145</v>
      </c>
      <c r="C351" s="7" t="s">
        <v>270</v>
      </c>
      <c r="D351" s="7" t="s">
        <v>583</v>
      </c>
      <c r="E351" s="7" t="s">
        <v>631</v>
      </c>
      <c r="F351" s="75">
        <v>363.75</v>
      </c>
      <c r="G351" s="30">
        <v>0</v>
      </c>
      <c r="H351" s="23">
        <f>F351*AE351</f>
        <v>0</v>
      </c>
      <c r="I351" s="23">
        <f>J351-H351</f>
        <v>0</v>
      </c>
      <c r="J351" s="23">
        <f>F351*G351</f>
        <v>0</v>
      </c>
      <c r="K351" s="23">
        <v>0.0095</v>
      </c>
      <c r="L351" s="23">
        <f>F351*K351</f>
        <v>3.455625</v>
      </c>
      <c r="M351" s="42" t="s">
        <v>663</v>
      </c>
      <c r="P351" s="44">
        <f>IF(AG351="5",J351,0)</f>
        <v>0</v>
      </c>
      <c r="R351" s="44">
        <f>IF(AG351="1",H351,0)</f>
        <v>0</v>
      </c>
      <c r="S351" s="44">
        <f>IF(AG351="1",I351,0)</f>
        <v>0</v>
      </c>
      <c r="T351" s="44">
        <f>IF(AG351="7",H351,0)</f>
        <v>0</v>
      </c>
      <c r="U351" s="44">
        <f>IF(AG351="7",I351,0)</f>
        <v>0</v>
      </c>
      <c r="V351" s="44">
        <f>IF(AG351="2",H351,0)</f>
        <v>0</v>
      </c>
      <c r="W351" s="44">
        <f>IF(AG351="2",I351,0)</f>
        <v>0</v>
      </c>
      <c r="X351" s="44">
        <f>IF(AG351="0",J351,0)</f>
        <v>0</v>
      </c>
      <c r="Y351" s="36" t="s">
        <v>145</v>
      </c>
      <c r="Z351" s="23">
        <f>IF(AD351=0,J351,0)</f>
        <v>0</v>
      </c>
      <c r="AA351" s="23">
        <f>IF(AD351=15,J351,0)</f>
        <v>0</v>
      </c>
      <c r="AB351" s="23">
        <f>IF(AD351=21,J351,0)</f>
        <v>0</v>
      </c>
      <c r="AD351" s="44">
        <v>21</v>
      </c>
      <c r="AE351" s="44">
        <f>G351*1</f>
        <v>0</v>
      </c>
      <c r="AF351" s="44">
        <f>G351*(1-1)</f>
        <v>0</v>
      </c>
      <c r="AG351" s="42" t="s">
        <v>7</v>
      </c>
      <c r="AM351" s="44">
        <f>F351*AE351</f>
        <v>0</v>
      </c>
      <c r="AN351" s="44">
        <f>F351*AF351</f>
        <v>0</v>
      </c>
      <c r="AO351" s="45" t="s">
        <v>700</v>
      </c>
      <c r="AP351" s="45" t="s">
        <v>717</v>
      </c>
      <c r="AQ351" s="36" t="s">
        <v>718</v>
      </c>
      <c r="AS351" s="44">
        <f>AM351+AN351</f>
        <v>0</v>
      </c>
      <c r="AT351" s="44">
        <f>G351/(100-AU351)*100</f>
        <v>0</v>
      </c>
      <c r="AU351" s="44">
        <v>0</v>
      </c>
      <c r="AV351" s="44">
        <f>L351</f>
        <v>3.455625</v>
      </c>
    </row>
    <row r="352" spans="4:7" ht="12.75">
      <c r="D352" s="17" t="s">
        <v>584</v>
      </c>
      <c r="F352" s="74">
        <v>363.75</v>
      </c>
      <c r="G352" s="24"/>
    </row>
    <row r="353" spans="1:37" ht="13.5">
      <c r="A353" s="5"/>
      <c r="B353" s="14" t="s">
        <v>145</v>
      </c>
      <c r="C353" s="14" t="s">
        <v>271</v>
      </c>
      <c r="D353" s="14" t="s">
        <v>585</v>
      </c>
      <c r="E353" s="5" t="s">
        <v>6</v>
      </c>
      <c r="F353" s="5" t="s">
        <v>6</v>
      </c>
      <c r="G353" s="28" t="s">
        <v>6</v>
      </c>
      <c r="H353" s="47">
        <f>SUM(H354:H354)</f>
        <v>0</v>
      </c>
      <c r="I353" s="47">
        <f>SUM(I354:I354)</f>
        <v>0</v>
      </c>
      <c r="J353" s="47">
        <f>H353+I353</f>
        <v>0</v>
      </c>
      <c r="K353" s="36"/>
      <c r="L353" s="47">
        <f>SUM(L354:L354)</f>
        <v>0.15</v>
      </c>
      <c r="M353" s="36"/>
      <c r="Y353" s="36" t="s">
        <v>145</v>
      </c>
      <c r="AI353" s="47">
        <f>SUM(Z354:Z354)</f>
        <v>0</v>
      </c>
      <c r="AJ353" s="47">
        <f>SUM(AA354:AA354)</f>
        <v>0</v>
      </c>
      <c r="AK353" s="47">
        <f>SUM(AB354:AB354)</f>
        <v>0</v>
      </c>
    </row>
    <row r="354" spans="1:48" ht="13.5">
      <c r="A354" s="6" t="s">
        <v>126</v>
      </c>
      <c r="B354" s="6" t="s">
        <v>145</v>
      </c>
      <c r="C354" s="6" t="s">
        <v>272</v>
      </c>
      <c r="D354" s="6" t="s">
        <v>586</v>
      </c>
      <c r="E354" s="6" t="s">
        <v>636</v>
      </c>
      <c r="F354" s="73">
        <v>1</v>
      </c>
      <c r="G354" s="29">
        <v>0</v>
      </c>
      <c r="H354" s="22">
        <f>F354*AE354</f>
        <v>0</v>
      </c>
      <c r="I354" s="22">
        <f>J354-H354</f>
        <v>0</v>
      </c>
      <c r="J354" s="22">
        <f>F354*G354</f>
        <v>0</v>
      </c>
      <c r="K354" s="22">
        <v>0.15</v>
      </c>
      <c r="L354" s="22">
        <f>F354*K354</f>
        <v>0.15</v>
      </c>
      <c r="M354" s="41" t="s">
        <v>664</v>
      </c>
      <c r="P354" s="44">
        <f>IF(AG354="5",J354,0)</f>
        <v>0</v>
      </c>
      <c r="R354" s="44">
        <f>IF(AG354="1",H354,0)</f>
        <v>0</v>
      </c>
      <c r="S354" s="44">
        <f>IF(AG354="1",I354,0)</f>
        <v>0</v>
      </c>
      <c r="T354" s="44">
        <f>IF(AG354="7",H354,0)</f>
        <v>0</v>
      </c>
      <c r="U354" s="44">
        <f>IF(AG354="7",I354,0)</f>
        <v>0</v>
      </c>
      <c r="V354" s="44">
        <f>IF(AG354="2",H354,0)</f>
        <v>0</v>
      </c>
      <c r="W354" s="44">
        <f>IF(AG354="2",I354,0)</f>
        <v>0</v>
      </c>
      <c r="X354" s="44">
        <f>IF(AG354="0",J354,0)</f>
        <v>0</v>
      </c>
      <c r="Y354" s="36" t="s">
        <v>145</v>
      </c>
      <c r="Z354" s="22">
        <f>IF(AD354=0,J354,0)</f>
        <v>0</v>
      </c>
      <c r="AA354" s="22">
        <f>IF(AD354=15,J354,0)</f>
        <v>0</v>
      </c>
      <c r="AB354" s="22">
        <f>IF(AD354=21,J354,0)</f>
        <v>0</v>
      </c>
      <c r="AD354" s="44">
        <v>21</v>
      </c>
      <c r="AE354" s="44">
        <f>G354*0</f>
        <v>0</v>
      </c>
      <c r="AF354" s="44">
        <f>G354*(1-0)</f>
        <v>0</v>
      </c>
      <c r="AG354" s="41" t="s">
        <v>7</v>
      </c>
      <c r="AM354" s="44">
        <f>F354*AE354</f>
        <v>0</v>
      </c>
      <c r="AN354" s="44">
        <f>F354*AF354</f>
        <v>0</v>
      </c>
      <c r="AO354" s="45" t="s">
        <v>701</v>
      </c>
      <c r="AP354" s="45" t="s">
        <v>717</v>
      </c>
      <c r="AQ354" s="36" t="s">
        <v>718</v>
      </c>
      <c r="AS354" s="44">
        <f>AM354+AN354</f>
        <v>0</v>
      </c>
      <c r="AT354" s="44">
        <f>G354/(100-AU354)*100</f>
        <v>0</v>
      </c>
      <c r="AU354" s="44">
        <v>0</v>
      </c>
      <c r="AV354" s="44">
        <f>L354</f>
        <v>0.15</v>
      </c>
    </row>
    <row r="355" spans="4:7" ht="12.75">
      <c r="D355" s="18" t="s">
        <v>587</v>
      </c>
      <c r="G355" s="24"/>
    </row>
    <row r="356" spans="4:7" ht="12.75">
      <c r="D356" s="17" t="s">
        <v>7</v>
      </c>
      <c r="F356" s="74">
        <v>1</v>
      </c>
      <c r="G356" s="24"/>
    </row>
    <row r="357" spans="1:37" ht="13.5">
      <c r="A357" s="5"/>
      <c r="B357" s="14" t="s">
        <v>145</v>
      </c>
      <c r="C357" s="14" t="s">
        <v>104</v>
      </c>
      <c r="D357" s="14" t="s">
        <v>588</v>
      </c>
      <c r="E357" s="5" t="s">
        <v>6</v>
      </c>
      <c r="F357" s="5" t="s">
        <v>6</v>
      </c>
      <c r="G357" s="28" t="s">
        <v>6</v>
      </c>
      <c r="H357" s="47">
        <f>SUM(H358:H358)</f>
        <v>0</v>
      </c>
      <c r="I357" s="47">
        <f>SUM(I358:I358)</f>
        <v>0</v>
      </c>
      <c r="J357" s="47">
        <f>H357+I357</f>
        <v>0</v>
      </c>
      <c r="K357" s="36"/>
      <c r="L357" s="47">
        <f>SUM(L358:L358)</f>
        <v>0.010764</v>
      </c>
      <c r="M357" s="36"/>
      <c r="Y357" s="36" t="s">
        <v>145</v>
      </c>
      <c r="AI357" s="47">
        <f>SUM(Z358:Z358)</f>
        <v>0</v>
      </c>
      <c r="AJ357" s="47">
        <f>SUM(AA358:AA358)</f>
        <v>0</v>
      </c>
      <c r="AK357" s="47">
        <f>SUM(AB358:AB358)</f>
        <v>0</v>
      </c>
    </row>
    <row r="358" spans="1:48" ht="13.5">
      <c r="A358" s="6" t="s">
        <v>127</v>
      </c>
      <c r="B358" s="6" t="s">
        <v>145</v>
      </c>
      <c r="C358" s="6" t="s">
        <v>273</v>
      </c>
      <c r="D358" s="6" t="s">
        <v>589</v>
      </c>
      <c r="E358" s="6" t="s">
        <v>627</v>
      </c>
      <c r="F358" s="73">
        <v>3.9</v>
      </c>
      <c r="G358" s="29">
        <v>0</v>
      </c>
      <c r="H358" s="22">
        <f>F358*AE358</f>
        <v>0</v>
      </c>
      <c r="I358" s="22">
        <f>J358-H358</f>
        <v>0</v>
      </c>
      <c r="J358" s="22">
        <f>F358*G358</f>
        <v>0</v>
      </c>
      <c r="K358" s="22">
        <v>0.00276</v>
      </c>
      <c r="L358" s="22">
        <f>F358*K358</f>
        <v>0.010764</v>
      </c>
      <c r="M358" s="41"/>
      <c r="P358" s="44">
        <f>IF(AG358="5",J358,0)</f>
        <v>0</v>
      </c>
      <c r="R358" s="44">
        <f>IF(AG358="1",H358,0)</f>
        <v>0</v>
      </c>
      <c r="S358" s="44">
        <f>IF(AG358="1",I358,0)</f>
        <v>0</v>
      </c>
      <c r="T358" s="44">
        <f>IF(AG358="7",H358,0)</f>
        <v>0</v>
      </c>
      <c r="U358" s="44">
        <f>IF(AG358="7",I358,0)</f>
        <v>0</v>
      </c>
      <c r="V358" s="44">
        <f>IF(AG358="2",H358,0)</f>
        <v>0</v>
      </c>
      <c r="W358" s="44">
        <f>IF(AG358="2",I358,0)</f>
        <v>0</v>
      </c>
      <c r="X358" s="44">
        <f>IF(AG358="0",J358,0)</f>
        <v>0</v>
      </c>
      <c r="Y358" s="36" t="s">
        <v>145</v>
      </c>
      <c r="Z358" s="22">
        <f>IF(AD358=0,J358,0)</f>
        <v>0</v>
      </c>
      <c r="AA358" s="22">
        <f>IF(AD358=15,J358,0)</f>
        <v>0</v>
      </c>
      <c r="AB358" s="22">
        <f>IF(AD358=21,J358,0)</f>
        <v>0</v>
      </c>
      <c r="AD358" s="44">
        <v>21</v>
      </c>
      <c r="AE358" s="44">
        <f>G358*0</f>
        <v>0</v>
      </c>
      <c r="AF358" s="44">
        <f>G358*(1-0)</f>
        <v>0</v>
      </c>
      <c r="AG358" s="41" t="s">
        <v>7</v>
      </c>
      <c r="AM358" s="44">
        <f>F358*AE358</f>
        <v>0</v>
      </c>
      <c r="AN358" s="44">
        <f>F358*AF358</f>
        <v>0</v>
      </c>
      <c r="AO358" s="45" t="s">
        <v>702</v>
      </c>
      <c r="AP358" s="45" t="s">
        <v>717</v>
      </c>
      <c r="AQ358" s="36" t="s">
        <v>718</v>
      </c>
      <c r="AS358" s="44">
        <f>AM358+AN358</f>
        <v>0</v>
      </c>
      <c r="AT358" s="44">
        <f>G358/(100-AU358)*100</f>
        <v>0</v>
      </c>
      <c r="AU358" s="44">
        <v>0</v>
      </c>
      <c r="AV358" s="44">
        <f>L358</f>
        <v>0.010764</v>
      </c>
    </row>
    <row r="359" spans="4:7" ht="12.75">
      <c r="D359" s="17" t="s">
        <v>590</v>
      </c>
      <c r="F359" s="74">
        <v>3.9</v>
      </c>
      <c r="G359" s="24"/>
    </row>
    <row r="360" spans="1:37" ht="13.5">
      <c r="A360" s="5"/>
      <c r="B360" s="14" t="s">
        <v>145</v>
      </c>
      <c r="C360" s="14" t="s">
        <v>274</v>
      </c>
      <c r="D360" s="14" t="s">
        <v>591</v>
      </c>
      <c r="E360" s="5" t="s">
        <v>6</v>
      </c>
      <c r="F360" s="5" t="s">
        <v>6</v>
      </c>
      <c r="G360" s="28" t="s">
        <v>6</v>
      </c>
      <c r="H360" s="47">
        <f>SUM(H361:H361)</f>
        <v>0</v>
      </c>
      <c r="I360" s="47">
        <f>SUM(I361:I361)</f>
        <v>0</v>
      </c>
      <c r="J360" s="47">
        <f>H360+I360</f>
        <v>0</v>
      </c>
      <c r="K360" s="36"/>
      <c r="L360" s="47">
        <f>SUM(L361:L361)</f>
        <v>0</v>
      </c>
      <c r="M360" s="36"/>
      <c r="Y360" s="36" t="s">
        <v>145</v>
      </c>
      <c r="AI360" s="47">
        <f>SUM(Z361:Z361)</f>
        <v>0</v>
      </c>
      <c r="AJ360" s="47">
        <f>SUM(AA361:AA361)</f>
        <v>0</v>
      </c>
      <c r="AK360" s="47">
        <f>SUM(AB361:AB361)</f>
        <v>0</v>
      </c>
    </row>
    <row r="361" spans="1:48" ht="13.5">
      <c r="A361" s="6" t="s">
        <v>128</v>
      </c>
      <c r="B361" s="6" t="s">
        <v>145</v>
      </c>
      <c r="C361" s="6" t="s">
        <v>275</v>
      </c>
      <c r="D361" s="6" t="s">
        <v>592</v>
      </c>
      <c r="E361" s="6" t="s">
        <v>630</v>
      </c>
      <c r="F361" s="73">
        <v>1046.46</v>
      </c>
      <c r="G361" s="29">
        <v>0</v>
      </c>
      <c r="H361" s="22">
        <f>F361*AE361</f>
        <v>0</v>
      </c>
      <c r="I361" s="22">
        <f>J361-H361</f>
        <v>0</v>
      </c>
      <c r="J361" s="22">
        <f>F361*G361</f>
        <v>0</v>
      </c>
      <c r="K361" s="22">
        <v>0</v>
      </c>
      <c r="L361" s="22">
        <f>F361*K361</f>
        <v>0</v>
      </c>
      <c r="M361" s="41" t="s">
        <v>660</v>
      </c>
      <c r="P361" s="44">
        <f>IF(AG361="5",J361,0)</f>
        <v>0</v>
      </c>
      <c r="R361" s="44">
        <f>IF(AG361="1",H361,0)</f>
        <v>0</v>
      </c>
      <c r="S361" s="44">
        <f>IF(AG361="1",I361,0)</f>
        <v>0</v>
      </c>
      <c r="T361" s="44">
        <f>IF(AG361="7",H361,0)</f>
        <v>0</v>
      </c>
      <c r="U361" s="44">
        <f>IF(AG361="7",I361,0)</f>
        <v>0</v>
      </c>
      <c r="V361" s="44">
        <f>IF(AG361="2",H361,0)</f>
        <v>0</v>
      </c>
      <c r="W361" s="44">
        <f>IF(AG361="2",I361,0)</f>
        <v>0</v>
      </c>
      <c r="X361" s="44">
        <f>IF(AG361="0",J361,0)</f>
        <v>0</v>
      </c>
      <c r="Y361" s="36" t="s">
        <v>145</v>
      </c>
      <c r="Z361" s="22">
        <f>IF(AD361=0,J361,0)</f>
        <v>0</v>
      </c>
      <c r="AA361" s="22">
        <f>IF(AD361=15,J361,0)</f>
        <v>0</v>
      </c>
      <c r="AB361" s="22">
        <f>IF(AD361=21,J361,0)</f>
        <v>0</v>
      </c>
      <c r="AD361" s="44">
        <v>21</v>
      </c>
      <c r="AE361" s="44">
        <f>G361*0</f>
        <v>0</v>
      </c>
      <c r="AF361" s="44">
        <f>G361*(1-0)</f>
        <v>0</v>
      </c>
      <c r="AG361" s="41" t="s">
        <v>11</v>
      </c>
      <c r="AM361" s="44">
        <f>F361*AE361</f>
        <v>0</v>
      </c>
      <c r="AN361" s="44">
        <f>F361*AF361</f>
        <v>0</v>
      </c>
      <c r="AO361" s="45" t="s">
        <v>703</v>
      </c>
      <c r="AP361" s="45" t="s">
        <v>717</v>
      </c>
      <c r="AQ361" s="36" t="s">
        <v>718</v>
      </c>
      <c r="AR361" s="36" t="s">
        <v>723</v>
      </c>
      <c r="AS361" s="44">
        <f>AM361+AN361</f>
        <v>0</v>
      </c>
      <c r="AT361" s="44">
        <f>G361/(100-AU361)*100</f>
        <v>0</v>
      </c>
      <c r="AU361" s="44">
        <v>0</v>
      </c>
      <c r="AV361" s="44">
        <f>L361</f>
        <v>0</v>
      </c>
    </row>
    <row r="362" spans="4:7" ht="12.75">
      <c r="D362" s="17" t="s">
        <v>593</v>
      </c>
      <c r="F362" s="74">
        <v>1060.72</v>
      </c>
      <c r="G362" s="24"/>
    </row>
    <row r="363" spans="4:7" ht="12.75">
      <c r="D363" s="17" t="s">
        <v>594</v>
      </c>
      <c r="F363" s="74">
        <v>0</v>
      </c>
      <c r="G363" s="24"/>
    </row>
    <row r="364" spans="4:7" ht="12.75">
      <c r="D364" s="17" t="s">
        <v>595</v>
      </c>
      <c r="F364" s="74">
        <v>-0.69</v>
      </c>
      <c r="G364" s="24"/>
    </row>
    <row r="365" spans="4:7" ht="12.75">
      <c r="D365" s="17" t="s">
        <v>596</v>
      </c>
      <c r="F365" s="74">
        <v>-13.57</v>
      </c>
      <c r="G365" s="24"/>
    </row>
    <row r="366" spans="1:37" ht="13.5">
      <c r="A366" s="5"/>
      <c r="B366" s="14" t="s">
        <v>145</v>
      </c>
      <c r="C366" s="14" t="s">
        <v>276</v>
      </c>
      <c r="D366" s="14" t="s">
        <v>597</v>
      </c>
      <c r="E366" s="5" t="s">
        <v>6</v>
      </c>
      <c r="F366" s="5" t="s">
        <v>6</v>
      </c>
      <c r="G366" s="28" t="s">
        <v>6</v>
      </c>
      <c r="H366" s="47">
        <f>SUM(H367:H367)</f>
        <v>0</v>
      </c>
      <c r="I366" s="47">
        <f>SUM(I367:I367)</f>
        <v>0</v>
      </c>
      <c r="J366" s="47">
        <f>H366+I366</f>
        <v>0</v>
      </c>
      <c r="K366" s="36"/>
      <c r="L366" s="47">
        <f>SUM(L367:L367)</f>
        <v>0</v>
      </c>
      <c r="M366" s="36"/>
      <c r="Y366" s="36" t="s">
        <v>145</v>
      </c>
      <c r="AI366" s="47">
        <f>SUM(Z367:Z367)</f>
        <v>0</v>
      </c>
      <c r="AJ366" s="47">
        <f>SUM(AA367:AA367)</f>
        <v>0</v>
      </c>
      <c r="AK366" s="47">
        <f>SUM(AB367:AB367)</f>
        <v>0</v>
      </c>
    </row>
    <row r="367" spans="1:48" ht="13.5">
      <c r="A367" s="79" t="s">
        <v>129</v>
      </c>
      <c r="B367" s="79" t="s">
        <v>145</v>
      </c>
      <c r="C367" s="79" t="s">
        <v>277</v>
      </c>
      <c r="D367" s="79" t="s">
        <v>598</v>
      </c>
      <c r="E367" s="79" t="s">
        <v>626</v>
      </c>
      <c r="F367" s="82">
        <v>1</v>
      </c>
      <c r="G367" s="83">
        <v>0</v>
      </c>
      <c r="H367" s="85">
        <f>F367*AE367</f>
        <v>0</v>
      </c>
      <c r="I367" s="85">
        <f>J367-H367</f>
        <v>0</v>
      </c>
      <c r="J367" s="85">
        <f>F367*G367</f>
        <v>0</v>
      </c>
      <c r="K367" s="85">
        <v>0</v>
      </c>
      <c r="L367" s="85">
        <f>F367*K367</f>
        <v>0</v>
      </c>
      <c r="M367" s="77"/>
      <c r="P367" s="44">
        <f>IF(AG367="5",J367,0)</f>
        <v>0</v>
      </c>
      <c r="R367" s="44">
        <f>IF(AG367="1",H367,0)</f>
        <v>0</v>
      </c>
      <c r="S367" s="44">
        <f>IF(AG367="1",I367,0)</f>
        <v>0</v>
      </c>
      <c r="T367" s="44">
        <f>IF(AG367="7",H367,0)</f>
        <v>0</v>
      </c>
      <c r="U367" s="44">
        <f>IF(AG367="7",I367,0)</f>
        <v>0</v>
      </c>
      <c r="V367" s="44">
        <f>IF(AG367="2",H367,0)</f>
        <v>0</v>
      </c>
      <c r="W367" s="44">
        <f>IF(AG367="2",I367,0)</f>
        <v>0</v>
      </c>
      <c r="X367" s="44">
        <f>IF(AG367="0",J367,0)</f>
        <v>0</v>
      </c>
      <c r="Y367" s="36" t="s">
        <v>145</v>
      </c>
      <c r="Z367" s="22">
        <f>IF(AD367=0,J367,0)</f>
        <v>0</v>
      </c>
      <c r="AA367" s="22">
        <f>IF(AD367=15,J367,0)</f>
        <v>0</v>
      </c>
      <c r="AB367" s="22">
        <f>IF(AD367=21,J367,0)</f>
        <v>0</v>
      </c>
      <c r="AD367" s="44">
        <v>21</v>
      </c>
      <c r="AE367" s="44">
        <f>G367*0</f>
        <v>0</v>
      </c>
      <c r="AF367" s="44">
        <f>G367*(1-0)</f>
        <v>0</v>
      </c>
      <c r="AG367" s="41" t="s">
        <v>7</v>
      </c>
      <c r="AM367" s="44">
        <f>F367*AE367</f>
        <v>0</v>
      </c>
      <c r="AN367" s="44">
        <f>F367*AF367</f>
        <v>0</v>
      </c>
      <c r="AO367" s="45" t="s">
        <v>704</v>
      </c>
      <c r="AP367" s="45" t="s">
        <v>717</v>
      </c>
      <c r="AQ367" s="36" t="s">
        <v>718</v>
      </c>
      <c r="AS367" s="44">
        <f>AM367+AN367</f>
        <v>0</v>
      </c>
      <c r="AT367" s="44">
        <f>G367/(100-AU367)*100</f>
        <v>0</v>
      </c>
      <c r="AU367" s="44">
        <v>0</v>
      </c>
      <c r="AV367" s="44">
        <f>L367</f>
        <v>0</v>
      </c>
    </row>
    <row r="368" spans="1:13" ht="12.75">
      <c r="A368" s="80"/>
      <c r="B368" s="80"/>
      <c r="C368" s="80"/>
      <c r="D368" s="81" t="s">
        <v>599</v>
      </c>
      <c r="E368" s="80"/>
      <c r="F368" s="84">
        <v>1</v>
      </c>
      <c r="G368" s="86"/>
      <c r="H368" s="80"/>
      <c r="I368" s="80"/>
      <c r="J368" s="80"/>
      <c r="K368" s="80"/>
      <c r="L368" s="80"/>
      <c r="M368" s="78"/>
    </row>
    <row r="369" spans="3:13" ht="51" customHeight="1">
      <c r="C369" s="15" t="s">
        <v>142</v>
      </c>
      <c r="D369" s="177" t="s">
        <v>600</v>
      </c>
      <c r="E369" s="178"/>
      <c r="F369" s="178"/>
      <c r="G369" s="179"/>
      <c r="H369" s="178"/>
      <c r="I369" s="178"/>
      <c r="J369" s="178"/>
      <c r="K369" s="178"/>
      <c r="L369" s="178"/>
      <c r="M369" s="178"/>
    </row>
    <row r="370" spans="1:37" ht="13.5">
      <c r="A370" s="5"/>
      <c r="B370" s="14" t="s">
        <v>145</v>
      </c>
      <c r="C370" s="14" t="s">
        <v>278</v>
      </c>
      <c r="D370" s="14" t="s">
        <v>601</v>
      </c>
      <c r="E370" s="5" t="s">
        <v>6</v>
      </c>
      <c r="F370" s="5" t="s">
        <v>6</v>
      </c>
      <c r="G370" s="28" t="s">
        <v>6</v>
      </c>
      <c r="H370" s="47">
        <f>SUM(H371:H388)</f>
        <v>0</v>
      </c>
      <c r="I370" s="47">
        <f>SUM(I371:I388)</f>
        <v>0</v>
      </c>
      <c r="J370" s="47">
        <f>H370+I370</f>
        <v>0</v>
      </c>
      <c r="K370" s="36"/>
      <c r="L370" s="47">
        <f>SUM(L371:L388)</f>
        <v>0</v>
      </c>
      <c r="M370" s="36"/>
      <c r="Y370" s="36" t="s">
        <v>145</v>
      </c>
      <c r="AI370" s="47">
        <f>SUM(Z371:Z388)</f>
        <v>0</v>
      </c>
      <c r="AJ370" s="47">
        <f>SUM(AA371:AA388)</f>
        <v>0</v>
      </c>
      <c r="AK370" s="47">
        <f>SUM(AB371:AB388)</f>
        <v>0</v>
      </c>
    </row>
    <row r="371" spans="1:48" ht="13.5">
      <c r="A371" s="6" t="s">
        <v>130</v>
      </c>
      <c r="B371" s="6" t="s">
        <v>145</v>
      </c>
      <c r="C371" s="6" t="s">
        <v>279</v>
      </c>
      <c r="D371" s="6" t="s">
        <v>602</v>
      </c>
      <c r="E371" s="6" t="s">
        <v>626</v>
      </c>
      <c r="F371" s="73">
        <v>5</v>
      </c>
      <c r="G371" s="29">
        <v>0</v>
      </c>
      <c r="H371" s="22">
        <f>F371*AE371</f>
        <v>0</v>
      </c>
      <c r="I371" s="22">
        <f>J371-H371</f>
        <v>0</v>
      </c>
      <c r="J371" s="22">
        <f>F371*G371</f>
        <v>0</v>
      </c>
      <c r="K371" s="22">
        <v>0</v>
      </c>
      <c r="L371" s="22">
        <f>F371*K371</f>
        <v>0</v>
      </c>
      <c r="M371" s="41"/>
      <c r="P371" s="44">
        <f>IF(AG371="5",J371,0)</f>
        <v>0</v>
      </c>
      <c r="R371" s="44">
        <f>IF(AG371="1",H371,0)</f>
        <v>0</v>
      </c>
      <c r="S371" s="44">
        <f>IF(AG371="1",I371,0)</f>
        <v>0</v>
      </c>
      <c r="T371" s="44">
        <f>IF(AG371="7",H371,0)</f>
        <v>0</v>
      </c>
      <c r="U371" s="44">
        <f>IF(AG371="7",I371,0)</f>
        <v>0</v>
      </c>
      <c r="V371" s="44">
        <f>IF(AG371="2",H371,0)</f>
        <v>0</v>
      </c>
      <c r="W371" s="44">
        <f>IF(AG371="2",I371,0)</f>
        <v>0</v>
      </c>
      <c r="X371" s="44">
        <f>IF(AG371="0",J371,0)</f>
        <v>0</v>
      </c>
      <c r="Y371" s="36" t="s">
        <v>145</v>
      </c>
      <c r="Z371" s="22">
        <f>IF(AD371=0,J371,0)</f>
        <v>0</v>
      </c>
      <c r="AA371" s="22">
        <f>IF(AD371=15,J371,0)</f>
        <v>0</v>
      </c>
      <c r="AB371" s="22">
        <f>IF(AD371=21,J371,0)</f>
        <v>0</v>
      </c>
      <c r="AD371" s="44">
        <v>21</v>
      </c>
      <c r="AE371" s="44">
        <f>G371*0</f>
        <v>0</v>
      </c>
      <c r="AF371" s="44">
        <f>G371*(1-0)</f>
        <v>0</v>
      </c>
      <c r="AG371" s="41" t="s">
        <v>7</v>
      </c>
      <c r="AM371" s="44">
        <f>F371*AE371</f>
        <v>0</v>
      </c>
      <c r="AN371" s="44">
        <f>F371*AF371</f>
        <v>0</v>
      </c>
      <c r="AO371" s="45" t="s">
        <v>705</v>
      </c>
      <c r="AP371" s="45" t="s">
        <v>717</v>
      </c>
      <c r="AQ371" s="36" t="s">
        <v>718</v>
      </c>
      <c r="AS371" s="44">
        <f>AM371+AN371</f>
        <v>0</v>
      </c>
      <c r="AT371" s="44">
        <f>G371/(100-AU371)*100</f>
        <v>0</v>
      </c>
      <c r="AU371" s="44">
        <v>0</v>
      </c>
      <c r="AV371" s="44">
        <f>L371</f>
        <v>0</v>
      </c>
    </row>
    <row r="372" spans="4:7" ht="12.75">
      <c r="D372" s="17" t="s">
        <v>11</v>
      </c>
      <c r="F372" s="74">
        <v>5</v>
      </c>
      <c r="G372" s="24"/>
    </row>
    <row r="373" spans="1:48" ht="13.5">
      <c r="A373" s="6" t="s">
        <v>131</v>
      </c>
      <c r="B373" s="6" t="s">
        <v>145</v>
      </c>
      <c r="C373" s="6" t="s">
        <v>280</v>
      </c>
      <c r="D373" s="6" t="s">
        <v>603</v>
      </c>
      <c r="E373" s="6" t="s">
        <v>626</v>
      </c>
      <c r="F373" s="73">
        <v>1</v>
      </c>
      <c r="G373" s="29">
        <v>0</v>
      </c>
      <c r="H373" s="22">
        <f>F373*AE373</f>
        <v>0</v>
      </c>
      <c r="I373" s="22">
        <f>J373-H373</f>
        <v>0</v>
      </c>
      <c r="J373" s="22">
        <f>F373*G373</f>
        <v>0</v>
      </c>
      <c r="K373" s="22">
        <v>0</v>
      </c>
      <c r="L373" s="22">
        <f>F373*K373</f>
        <v>0</v>
      </c>
      <c r="M373" s="41"/>
      <c r="P373" s="44">
        <f>IF(AG373="5",J373,0)</f>
        <v>0</v>
      </c>
      <c r="R373" s="44">
        <f>IF(AG373="1",H373,0)</f>
        <v>0</v>
      </c>
      <c r="S373" s="44">
        <f>IF(AG373="1",I373,0)</f>
        <v>0</v>
      </c>
      <c r="T373" s="44">
        <f>IF(AG373="7",H373,0)</f>
        <v>0</v>
      </c>
      <c r="U373" s="44">
        <f>IF(AG373="7",I373,0)</f>
        <v>0</v>
      </c>
      <c r="V373" s="44">
        <f>IF(AG373="2",H373,0)</f>
        <v>0</v>
      </c>
      <c r="W373" s="44">
        <f>IF(AG373="2",I373,0)</f>
        <v>0</v>
      </c>
      <c r="X373" s="44">
        <f>IF(AG373="0",J373,0)</f>
        <v>0</v>
      </c>
      <c r="Y373" s="36" t="s">
        <v>145</v>
      </c>
      <c r="Z373" s="22">
        <f>IF(AD373=0,J373,0)</f>
        <v>0</v>
      </c>
      <c r="AA373" s="22">
        <f>IF(AD373=15,J373,0)</f>
        <v>0</v>
      </c>
      <c r="AB373" s="22">
        <f>IF(AD373=21,J373,0)</f>
        <v>0</v>
      </c>
      <c r="AD373" s="44">
        <v>21</v>
      </c>
      <c r="AE373" s="44">
        <f>G373*0</f>
        <v>0</v>
      </c>
      <c r="AF373" s="44">
        <f>G373*(1-0)</f>
        <v>0</v>
      </c>
      <c r="AG373" s="41" t="s">
        <v>7</v>
      </c>
      <c r="AM373" s="44">
        <f>F373*AE373</f>
        <v>0</v>
      </c>
      <c r="AN373" s="44">
        <f>F373*AF373</f>
        <v>0</v>
      </c>
      <c r="AO373" s="45" t="s">
        <v>705</v>
      </c>
      <c r="AP373" s="45" t="s">
        <v>717</v>
      </c>
      <c r="AQ373" s="36" t="s">
        <v>718</v>
      </c>
      <c r="AS373" s="44">
        <f>AM373+AN373</f>
        <v>0</v>
      </c>
      <c r="AT373" s="44">
        <f>G373/(100-AU373)*100</f>
        <v>0</v>
      </c>
      <c r="AU373" s="44">
        <v>0</v>
      </c>
      <c r="AV373" s="44">
        <f>L373</f>
        <v>0</v>
      </c>
    </row>
    <row r="374" spans="4:7" ht="12.75">
      <c r="D374" s="17" t="s">
        <v>7</v>
      </c>
      <c r="F374" s="74">
        <v>1</v>
      </c>
      <c r="G374" s="24"/>
    </row>
    <row r="375" spans="1:48" ht="13.5">
      <c r="A375" s="6" t="s">
        <v>132</v>
      </c>
      <c r="B375" s="6" t="s">
        <v>145</v>
      </c>
      <c r="C375" s="6" t="s">
        <v>281</v>
      </c>
      <c r="D375" s="6" t="s">
        <v>604</v>
      </c>
      <c r="E375" s="6" t="s">
        <v>626</v>
      </c>
      <c r="F375" s="73">
        <v>1</v>
      </c>
      <c r="G375" s="29">
        <v>0</v>
      </c>
      <c r="H375" s="22">
        <f>F375*AE375</f>
        <v>0</v>
      </c>
      <c r="I375" s="22">
        <f>J375-H375</f>
        <v>0</v>
      </c>
      <c r="J375" s="22">
        <f>F375*G375</f>
        <v>0</v>
      </c>
      <c r="K375" s="22">
        <v>0</v>
      </c>
      <c r="L375" s="22">
        <f>F375*K375</f>
        <v>0</v>
      </c>
      <c r="M375" s="41"/>
      <c r="P375" s="44">
        <f>IF(AG375="5",J375,0)</f>
        <v>0</v>
      </c>
      <c r="R375" s="44">
        <f>IF(AG375="1",H375,0)</f>
        <v>0</v>
      </c>
      <c r="S375" s="44">
        <f>IF(AG375="1",I375,0)</f>
        <v>0</v>
      </c>
      <c r="T375" s="44">
        <f>IF(AG375="7",H375,0)</f>
        <v>0</v>
      </c>
      <c r="U375" s="44">
        <f>IF(AG375="7",I375,0)</f>
        <v>0</v>
      </c>
      <c r="V375" s="44">
        <f>IF(AG375="2",H375,0)</f>
        <v>0</v>
      </c>
      <c r="W375" s="44">
        <f>IF(AG375="2",I375,0)</f>
        <v>0</v>
      </c>
      <c r="X375" s="44">
        <f>IF(AG375="0",J375,0)</f>
        <v>0</v>
      </c>
      <c r="Y375" s="36" t="s">
        <v>145</v>
      </c>
      <c r="Z375" s="22">
        <f>IF(AD375=0,J375,0)</f>
        <v>0</v>
      </c>
      <c r="AA375" s="22">
        <f>IF(AD375=15,J375,0)</f>
        <v>0</v>
      </c>
      <c r="AB375" s="22">
        <f>IF(AD375=21,J375,0)</f>
        <v>0</v>
      </c>
      <c r="AD375" s="44">
        <v>21</v>
      </c>
      <c r="AE375" s="44">
        <f>G375*0</f>
        <v>0</v>
      </c>
      <c r="AF375" s="44">
        <f>G375*(1-0)</f>
        <v>0</v>
      </c>
      <c r="AG375" s="41" t="s">
        <v>7</v>
      </c>
      <c r="AM375" s="44">
        <f>F375*AE375</f>
        <v>0</v>
      </c>
      <c r="AN375" s="44">
        <f>F375*AF375</f>
        <v>0</v>
      </c>
      <c r="AO375" s="45" t="s">
        <v>705</v>
      </c>
      <c r="AP375" s="45" t="s">
        <v>717</v>
      </c>
      <c r="AQ375" s="36" t="s">
        <v>718</v>
      </c>
      <c r="AS375" s="44">
        <f>AM375+AN375</f>
        <v>0</v>
      </c>
      <c r="AT375" s="44">
        <f>G375/(100-AU375)*100</f>
        <v>0</v>
      </c>
      <c r="AU375" s="44">
        <v>0</v>
      </c>
      <c r="AV375" s="44">
        <f>L375</f>
        <v>0</v>
      </c>
    </row>
    <row r="376" spans="4:7" ht="12.75">
      <c r="D376" s="17" t="s">
        <v>605</v>
      </c>
      <c r="F376" s="74">
        <v>1</v>
      </c>
      <c r="G376" s="24"/>
    </row>
    <row r="377" spans="1:48" ht="13.5">
      <c r="A377" s="6" t="s">
        <v>133</v>
      </c>
      <c r="B377" s="6" t="s">
        <v>145</v>
      </c>
      <c r="C377" s="6" t="s">
        <v>282</v>
      </c>
      <c r="D377" s="6" t="s">
        <v>606</v>
      </c>
      <c r="E377" s="6" t="s">
        <v>637</v>
      </c>
      <c r="F377" s="73">
        <v>1</v>
      </c>
      <c r="G377" s="29">
        <v>0</v>
      </c>
      <c r="H377" s="22">
        <f>F377*AE377</f>
        <v>0</v>
      </c>
      <c r="I377" s="22">
        <f>J377-H377</f>
        <v>0</v>
      </c>
      <c r="J377" s="22">
        <f>F377*G377</f>
        <v>0</v>
      </c>
      <c r="K377" s="22">
        <v>0</v>
      </c>
      <c r="L377" s="22">
        <f>F377*K377</f>
        <v>0</v>
      </c>
      <c r="M377" s="41"/>
      <c r="P377" s="44">
        <f>IF(AG377="5",J377,0)</f>
        <v>0</v>
      </c>
      <c r="R377" s="44">
        <f>IF(AG377="1",H377,0)</f>
        <v>0</v>
      </c>
      <c r="S377" s="44">
        <f>IF(AG377="1",I377,0)</f>
        <v>0</v>
      </c>
      <c r="T377" s="44">
        <f>IF(AG377="7",H377,0)</f>
        <v>0</v>
      </c>
      <c r="U377" s="44">
        <f>IF(AG377="7",I377,0)</f>
        <v>0</v>
      </c>
      <c r="V377" s="44">
        <f>IF(AG377="2",H377,0)</f>
        <v>0</v>
      </c>
      <c r="W377" s="44">
        <f>IF(AG377="2",I377,0)</f>
        <v>0</v>
      </c>
      <c r="X377" s="44">
        <f>IF(AG377="0",J377,0)</f>
        <v>0</v>
      </c>
      <c r="Y377" s="36" t="s">
        <v>145</v>
      </c>
      <c r="Z377" s="22">
        <f>IF(AD377=0,J377,0)</f>
        <v>0</v>
      </c>
      <c r="AA377" s="22">
        <f>IF(AD377=15,J377,0)</f>
        <v>0</v>
      </c>
      <c r="AB377" s="22">
        <f>IF(AD377=21,J377,0)</f>
        <v>0</v>
      </c>
      <c r="AD377" s="44">
        <v>21</v>
      </c>
      <c r="AE377" s="44">
        <f>G377*0</f>
        <v>0</v>
      </c>
      <c r="AF377" s="44">
        <f>G377*(1-0)</f>
        <v>0</v>
      </c>
      <c r="AG377" s="41" t="s">
        <v>7</v>
      </c>
      <c r="AM377" s="44">
        <f>F377*AE377</f>
        <v>0</v>
      </c>
      <c r="AN377" s="44">
        <f>F377*AF377</f>
        <v>0</v>
      </c>
      <c r="AO377" s="45" t="s">
        <v>705</v>
      </c>
      <c r="AP377" s="45" t="s">
        <v>717</v>
      </c>
      <c r="AQ377" s="36" t="s">
        <v>718</v>
      </c>
      <c r="AS377" s="44">
        <f>AM377+AN377</f>
        <v>0</v>
      </c>
      <c r="AT377" s="44">
        <f>G377/(100-AU377)*100</f>
        <v>0</v>
      </c>
      <c r="AU377" s="44">
        <v>0</v>
      </c>
      <c r="AV377" s="44">
        <f>L377</f>
        <v>0</v>
      </c>
    </row>
    <row r="378" spans="4:7" ht="12.75">
      <c r="D378" s="17" t="s">
        <v>607</v>
      </c>
      <c r="F378" s="74">
        <v>1</v>
      </c>
      <c r="G378" s="24"/>
    </row>
    <row r="379" spans="1:48" ht="13.5">
      <c r="A379" s="6" t="s">
        <v>134</v>
      </c>
      <c r="B379" s="6" t="s">
        <v>145</v>
      </c>
      <c r="C379" s="6" t="s">
        <v>283</v>
      </c>
      <c r="D379" s="6" t="s">
        <v>608</v>
      </c>
      <c r="E379" s="6" t="s">
        <v>626</v>
      </c>
      <c r="F379" s="73">
        <v>1</v>
      </c>
      <c r="G379" s="29">
        <v>0</v>
      </c>
      <c r="H379" s="22">
        <f>F379*AE379</f>
        <v>0</v>
      </c>
      <c r="I379" s="22">
        <f>J379-H379</f>
        <v>0</v>
      </c>
      <c r="J379" s="22">
        <f>F379*G379</f>
        <v>0</v>
      </c>
      <c r="K379" s="22">
        <v>0</v>
      </c>
      <c r="L379" s="22">
        <f>F379*K379</f>
        <v>0</v>
      </c>
      <c r="M379" s="41"/>
      <c r="P379" s="44">
        <f>IF(AG379="5",J379,0)</f>
        <v>0</v>
      </c>
      <c r="R379" s="44">
        <f>IF(AG379="1",H379,0)</f>
        <v>0</v>
      </c>
      <c r="S379" s="44">
        <f>IF(AG379="1",I379,0)</f>
        <v>0</v>
      </c>
      <c r="T379" s="44">
        <f>IF(AG379="7",H379,0)</f>
        <v>0</v>
      </c>
      <c r="U379" s="44">
        <f>IF(AG379="7",I379,0)</f>
        <v>0</v>
      </c>
      <c r="V379" s="44">
        <f>IF(AG379="2",H379,0)</f>
        <v>0</v>
      </c>
      <c r="W379" s="44">
        <f>IF(AG379="2",I379,0)</f>
        <v>0</v>
      </c>
      <c r="X379" s="44">
        <f>IF(AG379="0",J379,0)</f>
        <v>0</v>
      </c>
      <c r="Y379" s="36" t="s">
        <v>145</v>
      </c>
      <c r="Z379" s="22">
        <f>IF(AD379=0,J379,0)</f>
        <v>0</v>
      </c>
      <c r="AA379" s="22">
        <f>IF(AD379=15,J379,0)</f>
        <v>0</v>
      </c>
      <c r="AB379" s="22">
        <f>IF(AD379=21,J379,0)</f>
        <v>0</v>
      </c>
      <c r="AD379" s="44">
        <v>21</v>
      </c>
      <c r="AE379" s="44">
        <f>G379*0</f>
        <v>0</v>
      </c>
      <c r="AF379" s="44">
        <f>G379*(1-0)</f>
        <v>0</v>
      </c>
      <c r="AG379" s="41" t="s">
        <v>7</v>
      </c>
      <c r="AM379" s="44">
        <f>F379*AE379</f>
        <v>0</v>
      </c>
      <c r="AN379" s="44">
        <f>F379*AF379</f>
        <v>0</v>
      </c>
      <c r="AO379" s="45" t="s">
        <v>705</v>
      </c>
      <c r="AP379" s="45" t="s">
        <v>717</v>
      </c>
      <c r="AQ379" s="36" t="s">
        <v>718</v>
      </c>
      <c r="AS379" s="44">
        <f>AM379+AN379</f>
        <v>0</v>
      </c>
      <c r="AT379" s="44">
        <f>G379/(100-AU379)*100</f>
        <v>0</v>
      </c>
      <c r="AU379" s="44">
        <v>0</v>
      </c>
      <c r="AV379" s="44">
        <f>L379</f>
        <v>0</v>
      </c>
    </row>
    <row r="380" spans="4:7" ht="12.75">
      <c r="D380" s="18" t="s">
        <v>478</v>
      </c>
      <c r="G380" s="24"/>
    </row>
    <row r="381" spans="4:7" ht="12.75">
      <c r="D381" s="17" t="s">
        <v>7</v>
      </c>
      <c r="F381" s="74">
        <v>1</v>
      </c>
      <c r="G381" s="24"/>
    </row>
    <row r="382" spans="1:48" ht="13.5">
      <c r="A382" s="6" t="s">
        <v>135</v>
      </c>
      <c r="B382" s="6" t="s">
        <v>145</v>
      </c>
      <c r="C382" s="6" t="s">
        <v>284</v>
      </c>
      <c r="D382" s="6" t="s">
        <v>609</v>
      </c>
      <c r="E382" s="6" t="s">
        <v>638</v>
      </c>
      <c r="F382" s="73">
        <v>1</v>
      </c>
      <c r="G382" s="29">
        <v>0</v>
      </c>
      <c r="H382" s="22">
        <f>F382*AE382</f>
        <v>0</v>
      </c>
      <c r="I382" s="22">
        <f>J382-H382</f>
        <v>0</v>
      </c>
      <c r="J382" s="22">
        <f>F382*G382</f>
        <v>0</v>
      </c>
      <c r="K382" s="22">
        <v>0</v>
      </c>
      <c r="L382" s="22">
        <f>F382*K382</f>
        <v>0</v>
      </c>
      <c r="M382" s="41" t="s">
        <v>659</v>
      </c>
      <c r="P382" s="44">
        <f>IF(AG382="5",J382,0)</f>
        <v>0</v>
      </c>
      <c r="R382" s="44">
        <f>IF(AG382="1",H382,0)</f>
        <v>0</v>
      </c>
      <c r="S382" s="44">
        <f>IF(AG382="1",I382,0)</f>
        <v>0</v>
      </c>
      <c r="T382" s="44">
        <f>IF(AG382="7",H382,0)</f>
        <v>0</v>
      </c>
      <c r="U382" s="44">
        <f>IF(AG382="7",I382,0)</f>
        <v>0</v>
      </c>
      <c r="V382" s="44">
        <f>IF(AG382="2",H382,0)</f>
        <v>0</v>
      </c>
      <c r="W382" s="44">
        <f>IF(AG382="2",I382,0)</f>
        <v>0</v>
      </c>
      <c r="X382" s="44">
        <f>IF(AG382="0",J382,0)</f>
        <v>0</v>
      </c>
      <c r="Y382" s="36" t="s">
        <v>145</v>
      </c>
      <c r="Z382" s="22">
        <f>IF(AD382=0,J382,0)</f>
        <v>0</v>
      </c>
      <c r="AA382" s="22">
        <f>IF(AD382=15,J382,0)</f>
        <v>0</v>
      </c>
      <c r="AB382" s="22">
        <f>IF(AD382=21,J382,0)</f>
        <v>0</v>
      </c>
      <c r="AD382" s="44">
        <v>21</v>
      </c>
      <c r="AE382" s="44">
        <f>G382*0</f>
        <v>0</v>
      </c>
      <c r="AF382" s="44">
        <f>G382*(1-0)</f>
        <v>0</v>
      </c>
      <c r="AG382" s="41" t="s">
        <v>7</v>
      </c>
      <c r="AM382" s="44">
        <f>F382*AE382</f>
        <v>0</v>
      </c>
      <c r="AN382" s="44">
        <f>F382*AF382</f>
        <v>0</v>
      </c>
      <c r="AO382" s="45" t="s">
        <v>705</v>
      </c>
      <c r="AP382" s="45" t="s">
        <v>717</v>
      </c>
      <c r="AQ382" s="36" t="s">
        <v>718</v>
      </c>
      <c r="AS382" s="44">
        <f>AM382+AN382</f>
        <v>0</v>
      </c>
      <c r="AT382" s="44">
        <f>G382/(100-AU382)*100</f>
        <v>0</v>
      </c>
      <c r="AU382" s="44">
        <v>0</v>
      </c>
      <c r="AV382" s="44">
        <f>L382</f>
        <v>0</v>
      </c>
    </row>
    <row r="383" spans="4:7" ht="12.75">
      <c r="D383" s="17" t="s">
        <v>7</v>
      </c>
      <c r="F383" s="74">
        <v>1</v>
      </c>
      <c r="G383" s="24"/>
    </row>
    <row r="384" spans="1:48" ht="13.5">
      <c r="A384" s="6" t="s">
        <v>136</v>
      </c>
      <c r="B384" s="6" t="s">
        <v>145</v>
      </c>
      <c r="C384" s="6" t="s">
        <v>285</v>
      </c>
      <c r="D384" s="6" t="s">
        <v>610</v>
      </c>
      <c r="E384" s="6" t="s">
        <v>637</v>
      </c>
      <c r="F384" s="73">
        <v>1</v>
      </c>
      <c r="G384" s="29">
        <v>0</v>
      </c>
      <c r="H384" s="22">
        <f>F384*AE384</f>
        <v>0</v>
      </c>
      <c r="I384" s="22">
        <f>J384-H384</f>
        <v>0</v>
      </c>
      <c r="J384" s="22">
        <f>F384*G384</f>
        <v>0</v>
      </c>
      <c r="K384" s="22">
        <v>0</v>
      </c>
      <c r="L384" s="22">
        <f>F384*K384</f>
        <v>0</v>
      </c>
      <c r="M384" s="41"/>
      <c r="P384" s="44">
        <f>IF(AG384="5",J384,0)</f>
        <v>0</v>
      </c>
      <c r="R384" s="44">
        <f>IF(AG384="1",H384,0)</f>
        <v>0</v>
      </c>
      <c r="S384" s="44">
        <f>IF(AG384="1",I384,0)</f>
        <v>0</v>
      </c>
      <c r="T384" s="44">
        <f>IF(AG384="7",H384,0)</f>
        <v>0</v>
      </c>
      <c r="U384" s="44">
        <f>IF(AG384="7",I384,0)</f>
        <v>0</v>
      </c>
      <c r="V384" s="44">
        <f>IF(AG384="2",H384,0)</f>
        <v>0</v>
      </c>
      <c r="W384" s="44">
        <f>IF(AG384="2",I384,0)</f>
        <v>0</v>
      </c>
      <c r="X384" s="44">
        <f>IF(AG384="0",J384,0)</f>
        <v>0</v>
      </c>
      <c r="Y384" s="36" t="s">
        <v>145</v>
      </c>
      <c r="Z384" s="22">
        <f>IF(AD384=0,J384,0)</f>
        <v>0</v>
      </c>
      <c r="AA384" s="22">
        <f>IF(AD384=15,J384,0)</f>
        <v>0</v>
      </c>
      <c r="AB384" s="22">
        <f>IF(AD384=21,J384,0)</f>
        <v>0</v>
      </c>
      <c r="AD384" s="44">
        <v>21</v>
      </c>
      <c r="AE384" s="44">
        <f>G384*0</f>
        <v>0</v>
      </c>
      <c r="AF384" s="44">
        <f>G384*(1-0)</f>
        <v>0</v>
      </c>
      <c r="AG384" s="41" t="s">
        <v>7</v>
      </c>
      <c r="AM384" s="44">
        <f>F384*AE384</f>
        <v>0</v>
      </c>
      <c r="AN384" s="44">
        <f>F384*AF384</f>
        <v>0</v>
      </c>
      <c r="AO384" s="45" t="s">
        <v>705</v>
      </c>
      <c r="AP384" s="45" t="s">
        <v>717</v>
      </c>
      <c r="AQ384" s="36" t="s">
        <v>718</v>
      </c>
      <c r="AS384" s="44">
        <f>AM384+AN384</f>
        <v>0</v>
      </c>
      <c r="AT384" s="44">
        <f>G384/(100-AU384)*100</f>
        <v>0</v>
      </c>
      <c r="AU384" s="44">
        <v>0</v>
      </c>
      <c r="AV384" s="44">
        <f>L384</f>
        <v>0</v>
      </c>
    </row>
    <row r="385" spans="4:7" ht="12.75">
      <c r="D385" s="17" t="s">
        <v>7</v>
      </c>
      <c r="F385" s="74">
        <v>1</v>
      </c>
      <c r="G385" s="24"/>
    </row>
    <row r="386" spans="1:48" ht="13.5">
      <c r="A386" s="6" t="s">
        <v>137</v>
      </c>
      <c r="B386" s="6" t="s">
        <v>145</v>
      </c>
      <c r="C386" s="6" t="s">
        <v>286</v>
      </c>
      <c r="D386" s="6" t="s">
        <v>611</v>
      </c>
      <c r="E386" s="6" t="s">
        <v>637</v>
      </c>
      <c r="F386" s="73">
        <v>1</v>
      </c>
      <c r="G386" s="29">
        <v>0</v>
      </c>
      <c r="H386" s="22">
        <f>F386*AE386</f>
        <v>0</v>
      </c>
      <c r="I386" s="22">
        <f>J386-H386</f>
        <v>0</v>
      </c>
      <c r="J386" s="22">
        <f>F386*G386</f>
        <v>0</v>
      </c>
      <c r="K386" s="22">
        <v>0</v>
      </c>
      <c r="L386" s="22">
        <f>F386*K386</f>
        <v>0</v>
      </c>
      <c r="M386" s="41"/>
      <c r="P386" s="44">
        <f>IF(AG386="5",J386,0)</f>
        <v>0</v>
      </c>
      <c r="R386" s="44">
        <f>IF(AG386="1",H386,0)</f>
        <v>0</v>
      </c>
      <c r="S386" s="44">
        <f>IF(AG386="1",I386,0)</f>
        <v>0</v>
      </c>
      <c r="T386" s="44">
        <f>IF(AG386="7",H386,0)</f>
        <v>0</v>
      </c>
      <c r="U386" s="44">
        <f>IF(AG386="7",I386,0)</f>
        <v>0</v>
      </c>
      <c r="V386" s="44">
        <f>IF(AG386="2",H386,0)</f>
        <v>0</v>
      </c>
      <c r="W386" s="44">
        <f>IF(AG386="2",I386,0)</f>
        <v>0</v>
      </c>
      <c r="X386" s="44">
        <f>IF(AG386="0",J386,0)</f>
        <v>0</v>
      </c>
      <c r="Y386" s="36" t="s">
        <v>145</v>
      </c>
      <c r="Z386" s="22">
        <f>IF(AD386=0,J386,0)</f>
        <v>0</v>
      </c>
      <c r="AA386" s="22">
        <f>IF(AD386=15,J386,0)</f>
        <v>0</v>
      </c>
      <c r="AB386" s="22">
        <f>IF(AD386=21,J386,0)</f>
        <v>0</v>
      </c>
      <c r="AD386" s="44">
        <v>21</v>
      </c>
      <c r="AE386" s="44">
        <f>G386*0</f>
        <v>0</v>
      </c>
      <c r="AF386" s="44">
        <f>G386*(1-0)</f>
        <v>0</v>
      </c>
      <c r="AG386" s="41" t="s">
        <v>7</v>
      </c>
      <c r="AM386" s="44">
        <f>F386*AE386</f>
        <v>0</v>
      </c>
      <c r="AN386" s="44">
        <f>F386*AF386</f>
        <v>0</v>
      </c>
      <c r="AO386" s="45" t="s">
        <v>705</v>
      </c>
      <c r="AP386" s="45" t="s">
        <v>717</v>
      </c>
      <c r="AQ386" s="36" t="s">
        <v>718</v>
      </c>
      <c r="AS386" s="44">
        <f>AM386+AN386</f>
        <v>0</v>
      </c>
      <c r="AT386" s="44">
        <f>G386/(100-AU386)*100</f>
        <v>0</v>
      </c>
      <c r="AU386" s="44">
        <v>0</v>
      </c>
      <c r="AV386" s="44">
        <f>L386</f>
        <v>0</v>
      </c>
    </row>
    <row r="387" spans="4:7" ht="12.75">
      <c r="D387" s="17" t="s">
        <v>7</v>
      </c>
      <c r="F387" s="74">
        <v>1</v>
      </c>
      <c r="G387" s="24"/>
    </row>
    <row r="388" spans="1:48" ht="13.5">
      <c r="A388" s="6" t="s">
        <v>138</v>
      </c>
      <c r="B388" s="6" t="s">
        <v>145</v>
      </c>
      <c r="C388" s="6" t="s">
        <v>287</v>
      </c>
      <c r="D388" s="6" t="s">
        <v>612</v>
      </c>
      <c r="E388" s="6" t="s">
        <v>637</v>
      </c>
      <c r="F388" s="73">
        <v>1</v>
      </c>
      <c r="G388" s="29">
        <v>0</v>
      </c>
      <c r="H388" s="22">
        <f>F388*AE388</f>
        <v>0</v>
      </c>
      <c r="I388" s="22">
        <f>J388-H388</f>
        <v>0</v>
      </c>
      <c r="J388" s="22">
        <f>F388*G388</f>
        <v>0</v>
      </c>
      <c r="K388" s="22">
        <v>0</v>
      </c>
      <c r="L388" s="22">
        <f>F388*K388</f>
        <v>0</v>
      </c>
      <c r="M388" s="41"/>
      <c r="P388" s="44">
        <f>IF(AG388="5",J388,0)</f>
        <v>0</v>
      </c>
      <c r="R388" s="44">
        <f>IF(AG388="1",H388,0)</f>
        <v>0</v>
      </c>
      <c r="S388" s="44">
        <f>IF(AG388="1",I388,0)</f>
        <v>0</v>
      </c>
      <c r="T388" s="44">
        <f>IF(AG388="7",H388,0)</f>
        <v>0</v>
      </c>
      <c r="U388" s="44">
        <f>IF(AG388="7",I388,0)</f>
        <v>0</v>
      </c>
      <c r="V388" s="44">
        <f>IF(AG388="2",H388,0)</f>
        <v>0</v>
      </c>
      <c r="W388" s="44">
        <f>IF(AG388="2",I388,0)</f>
        <v>0</v>
      </c>
      <c r="X388" s="44">
        <f>IF(AG388="0",J388,0)</f>
        <v>0</v>
      </c>
      <c r="Y388" s="36" t="s">
        <v>145</v>
      </c>
      <c r="Z388" s="22">
        <f>IF(AD388=0,J388,0)</f>
        <v>0</v>
      </c>
      <c r="AA388" s="22">
        <f>IF(AD388=15,J388,0)</f>
        <v>0</v>
      </c>
      <c r="AB388" s="22">
        <f>IF(AD388=21,J388,0)</f>
        <v>0</v>
      </c>
      <c r="AD388" s="44">
        <v>21</v>
      </c>
      <c r="AE388" s="44">
        <f>G388*0</f>
        <v>0</v>
      </c>
      <c r="AF388" s="44">
        <f>G388*(1-0)</f>
        <v>0</v>
      </c>
      <c r="AG388" s="41" t="s">
        <v>7</v>
      </c>
      <c r="AM388" s="44">
        <f>F388*AE388</f>
        <v>0</v>
      </c>
      <c r="AN388" s="44">
        <f>F388*AF388</f>
        <v>0</v>
      </c>
      <c r="AO388" s="45" t="s">
        <v>705</v>
      </c>
      <c r="AP388" s="45" t="s">
        <v>717</v>
      </c>
      <c r="AQ388" s="36" t="s">
        <v>718</v>
      </c>
      <c r="AS388" s="44">
        <f>AM388+AN388</f>
        <v>0</v>
      </c>
      <c r="AT388" s="44">
        <f>G388/(100-AU388)*100</f>
        <v>0</v>
      </c>
      <c r="AU388" s="44">
        <v>0</v>
      </c>
      <c r="AV388" s="44">
        <f>L388</f>
        <v>0</v>
      </c>
    </row>
    <row r="389" spans="4:7" ht="12.75">
      <c r="D389" s="18" t="s">
        <v>613</v>
      </c>
      <c r="G389" s="24"/>
    </row>
    <row r="390" spans="4:7" ht="12.75">
      <c r="D390" s="17" t="s">
        <v>7</v>
      </c>
      <c r="F390" s="74">
        <v>1</v>
      </c>
      <c r="G390" s="24"/>
    </row>
    <row r="391" spans="1:37" ht="13.5">
      <c r="A391" s="5"/>
      <c r="B391" s="14" t="s">
        <v>145</v>
      </c>
      <c r="C391" s="14" t="s">
        <v>288</v>
      </c>
      <c r="D391" s="14" t="s">
        <v>614</v>
      </c>
      <c r="E391" s="5" t="s">
        <v>6</v>
      </c>
      <c r="F391" s="5" t="s">
        <v>6</v>
      </c>
      <c r="G391" s="28" t="s">
        <v>6</v>
      </c>
      <c r="H391" s="47">
        <f>SUM(H392:H394)</f>
        <v>0</v>
      </c>
      <c r="I391" s="47">
        <f>SUM(I392:I394)</f>
        <v>0</v>
      </c>
      <c r="J391" s="47">
        <f>H391+I391</f>
        <v>0</v>
      </c>
      <c r="K391" s="36"/>
      <c r="L391" s="47">
        <f>SUM(L392:L394)</f>
        <v>0.02480625</v>
      </c>
      <c r="M391" s="36"/>
      <c r="Y391" s="36" t="s">
        <v>145</v>
      </c>
      <c r="AI391" s="47">
        <f>SUM(Z392:Z394)</f>
        <v>0</v>
      </c>
      <c r="AJ391" s="47">
        <f>SUM(AA392:AA394)</f>
        <v>0</v>
      </c>
      <c r="AK391" s="47">
        <f>SUM(AB392:AB394)</f>
        <v>0</v>
      </c>
    </row>
    <row r="392" spans="1:48" ht="13.5">
      <c r="A392" s="6" t="s">
        <v>139</v>
      </c>
      <c r="B392" s="6" t="s">
        <v>145</v>
      </c>
      <c r="C392" s="6" t="s">
        <v>289</v>
      </c>
      <c r="D392" s="6" t="s">
        <v>615</v>
      </c>
      <c r="E392" s="6" t="s">
        <v>628</v>
      </c>
      <c r="F392" s="73">
        <v>3.5</v>
      </c>
      <c r="G392" s="29">
        <v>0</v>
      </c>
      <c r="H392" s="22">
        <f>F392*AE392</f>
        <v>0</v>
      </c>
      <c r="I392" s="22">
        <f>J392-H392</f>
        <v>0</v>
      </c>
      <c r="J392" s="22">
        <f>F392*G392</f>
        <v>0</v>
      </c>
      <c r="K392" s="22">
        <v>0</v>
      </c>
      <c r="L392" s="22">
        <f>F392*K392</f>
        <v>0</v>
      </c>
      <c r="M392" s="41" t="s">
        <v>660</v>
      </c>
      <c r="P392" s="44">
        <f>IF(AG392="5",J392,0)</f>
        <v>0</v>
      </c>
      <c r="R392" s="44">
        <f>IF(AG392="1",H392,0)</f>
        <v>0</v>
      </c>
      <c r="S392" s="44">
        <f>IF(AG392="1",I392,0)</f>
        <v>0</v>
      </c>
      <c r="T392" s="44">
        <f>IF(AG392="7",H392,0)</f>
        <v>0</v>
      </c>
      <c r="U392" s="44">
        <f>IF(AG392="7",I392,0)</f>
        <v>0</v>
      </c>
      <c r="V392" s="44">
        <f>IF(AG392="2",H392,0)</f>
        <v>0</v>
      </c>
      <c r="W392" s="44">
        <f>IF(AG392="2",I392,0)</f>
        <v>0</v>
      </c>
      <c r="X392" s="44">
        <f>IF(AG392="0",J392,0)</f>
        <v>0</v>
      </c>
      <c r="Y392" s="36" t="s">
        <v>145</v>
      </c>
      <c r="Z392" s="22">
        <f>IF(AD392=0,J392,0)</f>
        <v>0</v>
      </c>
      <c r="AA392" s="22">
        <f>IF(AD392=15,J392,0)</f>
        <v>0</v>
      </c>
      <c r="AB392" s="22">
        <f>IF(AD392=21,J392,0)</f>
        <v>0</v>
      </c>
      <c r="AD392" s="44">
        <v>21</v>
      </c>
      <c r="AE392" s="44">
        <f>G392*0</f>
        <v>0</v>
      </c>
      <c r="AF392" s="44">
        <f>G392*(1-0)</f>
        <v>0</v>
      </c>
      <c r="AG392" s="41" t="s">
        <v>8</v>
      </c>
      <c r="AM392" s="44">
        <f>F392*AE392</f>
        <v>0</v>
      </c>
      <c r="AN392" s="44">
        <f>F392*AF392</f>
        <v>0</v>
      </c>
      <c r="AO392" s="45" t="s">
        <v>706</v>
      </c>
      <c r="AP392" s="45" t="s">
        <v>717</v>
      </c>
      <c r="AQ392" s="36" t="s">
        <v>718</v>
      </c>
      <c r="AS392" s="44">
        <f>AM392+AN392</f>
        <v>0</v>
      </c>
      <c r="AT392" s="44">
        <f>G392/(100-AU392)*100</f>
        <v>0</v>
      </c>
      <c r="AU392" s="44">
        <v>0</v>
      </c>
      <c r="AV392" s="44">
        <f>L392</f>
        <v>0</v>
      </c>
    </row>
    <row r="393" spans="4:7" ht="12.75">
      <c r="D393" s="17" t="s">
        <v>616</v>
      </c>
      <c r="F393" s="74">
        <v>3.5</v>
      </c>
      <c r="G393" s="24"/>
    </row>
    <row r="394" spans="1:48" ht="13.5">
      <c r="A394" s="7" t="s">
        <v>140</v>
      </c>
      <c r="B394" s="7" t="s">
        <v>145</v>
      </c>
      <c r="C394" s="7" t="s">
        <v>290</v>
      </c>
      <c r="D394" s="7" t="s">
        <v>617</v>
      </c>
      <c r="E394" s="7" t="s">
        <v>631</v>
      </c>
      <c r="F394" s="75">
        <v>3.675</v>
      </c>
      <c r="G394" s="30">
        <v>0</v>
      </c>
      <c r="H394" s="23">
        <f>F394*AE394</f>
        <v>0</v>
      </c>
      <c r="I394" s="23">
        <f>J394-H394</f>
        <v>0</v>
      </c>
      <c r="J394" s="23">
        <f>F394*G394</f>
        <v>0</v>
      </c>
      <c r="K394" s="23">
        <v>0.00675</v>
      </c>
      <c r="L394" s="23">
        <f>F394*K394</f>
        <v>0.02480625</v>
      </c>
      <c r="M394" s="42" t="s">
        <v>661</v>
      </c>
      <c r="P394" s="44">
        <f>IF(AG394="5",J394,0)</f>
        <v>0</v>
      </c>
      <c r="R394" s="44">
        <f>IF(AG394="1",H394,0)</f>
        <v>0</v>
      </c>
      <c r="S394" s="44">
        <f>IF(AG394="1",I394,0)</f>
        <v>0</v>
      </c>
      <c r="T394" s="44">
        <f>IF(AG394="7",H394,0)</f>
        <v>0</v>
      </c>
      <c r="U394" s="44">
        <f>IF(AG394="7",I394,0)</f>
        <v>0</v>
      </c>
      <c r="V394" s="44">
        <f>IF(AG394="2",H394,0)</f>
        <v>0</v>
      </c>
      <c r="W394" s="44">
        <f>IF(AG394="2",I394,0)</f>
        <v>0</v>
      </c>
      <c r="X394" s="44">
        <f>IF(AG394="0",J394,0)</f>
        <v>0</v>
      </c>
      <c r="Y394" s="36" t="s">
        <v>145</v>
      </c>
      <c r="Z394" s="23">
        <f>IF(AD394=0,J394,0)</f>
        <v>0</v>
      </c>
      <c r="AA394" s="23">
        <f>IF(AD394=15,J394,0)</f>
        <v>0</v>
      </c>
      <c r="AB394" s="23">
        <f>IF(AD394=21,J394,0)</f>
        <v>0</v>
      </c>
      <c r="AD394" s="44">
        <v>21</v>
      </c>
      <c r="AE394" s="44">
        <f>G394*1</f>
        <v>0</v>
      </c>
      <c r="AF394" s="44">
        <f>G394*(1-1)</f>
        <v>0</v>
      </c>
      <c r="AG394" s="42" t="s">
        <v>7</v>
      </c>
      <c r="AM394" s="44">
        <f>F394*AE394</f>
        <v>0</v>
      </c>
      <c r="AN394" s="44">
        <f>F394*AF394</f>
        <v>0</v>
      </c>
      <c r="AO394" s="45" t="s">
        <v>706</v>
      </c>
      <c r="AP394" s="45" t="s">
        <v>717</v>
      </c>
      <c r="AQ394" s="36" t="s">
        <v>718</v>
      </c>
      <c r="AS394" s="44">
        <f>AM394+AN394</f>
        <v>0</v>
      </c>
      <c r="AT394" s="44">
        <f>G394/(100-AU394)*100</f>
        <v>0</v>
      </c>
      <c r="AU394" s="44">
        <v>0</v>
      </c>
      <c r="AV394" s="44">
        <f>L394</f>
        <v>0.02480625</v>
      </c>
    </row>
    <row r="395" spans="4:7" ht="12.75">
      <c r="D395" s="17" t="s">
        <v>618</v>
      </c>
      <c r="F395" s="74">
        <v>3.675</v>
      </c>
      <c r="G395" s="24"/>
    </row>
    <row r="396" spans="1:37" ht="13.5">
      <c r="A396" s="5"/>
      <c r="B396" s="14" t="s">
        <v>145</v>
      </c>
      <c r="C396" s="14" t="s">
        <v>291</v>
      </c>
      <c r="D396" s="14" t="s">
        <v>619</v>
      </c>
      <c r="E396" s="5" t="s">
        <v>6</v>
      </c>
      <c r="F396" s="5" t="s">
        <v>6</v>
      </c>
      <c r="G396" s="28" t="s">
        <v>6</v>
      </c>
      <c r="H396" s="47">
        <f>SUM(H397:H397)</f>
        <v>0</v>
      </c>
      <c r="I396" s="47">
        <f>SUM(I397:I397)</f>
        <v>0</v>
      </c>
      <c r="J396" s="47">
        <f>H396+I396</f>
        <v>0</v>
      </c>
      <c r="K396" s="36"/>
      <c r="L396" s="47">
        <f>SUM(L397:L397)</f>
        <v>3.5349999999999997</v>
      </c>
      <c r="M396" s="36"/>
      <c r="Y396" s="36" t="s">
        <v>145</v>
      </c>
      <c r="AI396" s="47">
        <f>SUM(Z397:Z397)</f>
        <v>0</v>
      </c>
      <c r="AJ396" s="47">
        <f>SUM(AA397:AA397)</f>
        <v>0</v>
      </c>
      <c r="AK396" s="47">
        <f>SUM(AB397:AB397)</f>
        <v>0</v>
      </c>
    </row>
    <row r="397" spans="1:48" ht="13.5">
      <c r="A397" s="6" t="s">
        <v>141</v>
      </c>
      <c r="B397" s="6" t="s">
        <v>145</v>
      </c>
      <c r="C397" s="6" t="s">
        <v>292</v>
      </c>
      <c r="D397" s="6" t="s">
        <v>620</v>
      </c>
      <c r="E397" s="6" t="s">
        <v>629</v>
      </c>
      <c r="F397" s="73">
        <v>1.4</v>
      </c>
      <c r="G397" s="29">
        <v>0</v>
      </c>
      <c r="H397" s="22">
        <f>F397*AE397</f>
        <v>0</v>
      </c>
      <c r="I397" s="22">
        <f>J397-H397</f>
        <v>0</v>
      </c>
      <c r="J397" s="22">
        <f>F397*G397</f>
        <v>0</v>
      </c>
      <c r="K397" s="22">
        <v>2.525</v>
      </c>
      <c r="L397" s="22">
        <f>F397*K397</f>
        <v>3.5349999999999997</v>
      </c>
      <c r="M397" s="41" t="s">
        <v>660</v>
      </c>
      <c r="P397" s="44">
        <f>IF(AG397="5",J397,0)</f>
        <v>0</v>
      </c>
      <c r="R397" s="44">
        <f>IF(AG397="1",H397,0)</f>
        <v>0</v>
      </c>
      <c r="S397" s="44">
        <f>IF(AG397="1",I397,0)</f>
        <v>0</v>
      </c>
      <c r="T397" s="44">
        <f>IF(AG397="7",H397,0)</f>
        <v>0</v>
      </c>
      <c r="U397" s="44">
        <f>IF(AG397="7",I397,0)</f>
        <v>0</v>
      </c>
      <c r="V397" s="44">
        <f>IF(AG397="2",H397,0)</f>
        <v>0</v>
      </c>
      <c r="W397" s="44">
        <f>IF(AG397="2",I397,0)</f>
        <v>0</v>
      </c>
      <c r="X397" s="44">
        <f>IF(AG397="0",J397,0)</f>
        <v>0</v>
      </c>
      <c r="Y397" s="36" t="s">
        <v>145</v>
      </c>
      <c r="Z397" s="22">
        <f>IF(AD397=0,J397,0)</f>
        <v>0</v>
      </c>
      <c r="AA397" s="22">
        <f>IF(AD397=15,J397,0)</f>
        <v>0</v>
      </c>
      <c r="AB397" s="22">
        <f>IF(AD397=21,J397,0)</f>
        <v>0</v>
      </c>
      <c r="AD397" s="44">
        <v>21</v>
      </c>
      <c r="AE397" s="44">
        <f>G397*0.876888888888889</f>
        <v>0</v>
      </c>
      <c r="AF397" s="44">
        <f>G397*(1-0.876888888888889)</f>
        <v>0</v>
      </c>
      <c r="AG397" s="41" t="s">
        <v>8</v>
      </c>
      <c r="AM397" s="44">
        <f>F397*AE397</f>
        <v>0</v>
      </c>
      <c r="AN397" s="44">
        <f>F397*AF397</f>
        <v>0</v>
      </c>
      <c r="AO397" s="45" t="s">
        <v>707</v>
      </c>
      <c r="AP397" s="45" t="s">
        <v>717</v>
      </c>
      <c r="AQ397" s="36" t="s">
        <v>718</v>
      </c>
      <c r="AS397" s="44">
        <f>AM397+AN397</f>
        <v>0</v>
      </c>
      <c r="AT397" s="44">
        <f>G397/(100-AU397)*100</f>
        <v>0</v>
      </c>
      <c r="AU397" s="44">
        <v>0</v>
      </c>
      <c r="AV397" s="44">
        <f>L397</f>
        <v>3.5349999999999997</v>
      </c>
    </row>
    <row r="398" spans="1:13" ht="12.75">
      <c r="A398" s="8"/>
      <c r="B398" s="8"/>
      <c r="C398" s="8"/>
      <c r="D398" s="19" t="s">
        <v>432</v>
      </c>
      <c r="E398" s="8"/>
      <c r="F398" s="76">
        <v>1.4</v>
      </c>
      <c r="G398" s="31"/>
      <c r="H398" s="8"/>
      <c r="I398" s="8"/>
      <c r="J398" s="8"/>
      <c r="K398" s="8"/>
      <c r="L398" s="8"/>
      <c r="M398" s="8"/>
    </row>
    <row r="399" spans="1:13" ht="13.5">
      <c r="A399" s="9"/>
      <c r="B399" s="9"/>
      <c r="C399" s="9"/>
      <c r="D399" s="9"/>
      <c r="E399" s="9"/>
      <c r="F399" s="9"/>
      <c r="G399" s="9"/>
      <c r="H399" s="180" t="s">
        <v>645</v>
      </c>
      <c r="I399" s="130"/>
      <c r="J399" s="48">
        <f>ROUND(J13+J15+J58+J73+J84+J113+J128+J153+J165+J176+J180+J188+J191+J195+J208+J216+J248+J252+J255+J270+J283+J288+J297+J327+J342+J345+J348+J353+J357+J360+J366+J370+J391+J396,0)</f>
        <v>0</v>
      </c>
      <c r="K399" s="9"/>
      <c r="L399" s="9"/>
      <c r="M399" s="9"/>
    </row>
    <row r="400" ht="11.25" customHeight="1">
      <c r="A400" s="10" t="s">
        <v>142</v>
      </c>
    </row>
    <row r="401" spans="1:13" ht="256.5" customHeight="1">
      <c r="A401" s="136" t="s">
        <v>143</v>
      </c>
      <c r="B401" s="128"/>
      <c r="C401" s="128"/>
      <c r="D401" s="128"/>
      <c r="E401" s="128"/>
      <c r="F401" s="128"/>
      <c r="G401" s="128"/>
      <c r="H401" s="128"/>
      <c r="I401" s="128"/>
      <c r="J401" s="128"/>
      <c r="K401" s="128"/>
      <c r="L401" s="128"/>
      <c r="M401" s="128"/>
    </row>
  </sheetData>
  <sheetProtection sheet="1" objects="1" scenarios="1"/>
  <mergeCells count="34">
    <mergeCell ref="D369:M369"/>
    <mergeCell ref="H399:I399"/>
    <mergeCell ref="A401:M401"/>
    <mergeCell ref="H10:J10"/>
    <mergeCell ref="K10:L10"/>
    <mergeCell ref="D20:M20"/>
    <mergeCell ref="D156:M156"/>
    <mergeCell ref="D278:M278"/>
    <mergeCell ref="D296:M296"/>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1:M1"/>
    <mergeCell ref="A2:C3"/>
    <mergeCell ref="D2:D3"/>
    <mergeCell ref="E2:F3"/>
    <mergeCell ref="G2:H3"/>
    <mergeCell ref="I2:I3"/>
    <mergeCell ref="J2:M3"/>
  </mergeCells>
  <printOptions/>
  <pageMargins left="0.394" right="0.394" top="0.591" bottom="0.591" header="0.5" footer="0.5"/>
  <pageSetup fitToHeight="0" fitToWidth="1"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4"/>
  <sheetViews>
    <sheetView workbookViewId="0" topLeftCell="A1">
      <selection activeCell="E84" sqref="E84"/>
    </sheetView>
  </sheetViews>
  <sheetFormatPr defaultColWidth="9.140625" defaultRowHeight="12.75"/>
  <cols>
    <col min="1" max="1" width="36.140625" style="89" bestFit="1" customWidth="1"/>
    <col min="2" max="2" width="8.8515625" style="88" bestFit="1" customWidth="1"/>
    <col min="3" max="3" width="16.140625" style="88" bestFit="1" customWidth="1"/>
    <col min="4" max="16384" width="9.140625" style="87" customWidth="1"/>
  </cols>
  <sheetData>
    <row r="1" spans="1:3" ht="12.75">
      <c r="A1" s="100" t="s">
        <v>801</v>
      </c>
      <c r="B1" s="99" t="s">
        <v>800</v>
      </c>
      <c r="C1" s="99" t="s">
        <v>799</v>
      </c>
    </row>
    <row r="2" spans="1:3" ht="12.75">
      <c r="A2" s="95" t="s">
        <v>798</v>
      </c>
      <c r="B2" s="94"/>
      <c r="C2" s="94"/>
    </row>
    <row r="3" spans="1:3" ht="12.75">
      <c r="A3" s="93" t="s">
        <v>644</v>
      </c>
      <c r="B3" s="92"/>
      <c r="C3" s="92"/>
    </row>
    <row r="4" spans="1:3" ht="12.75">
      <c r="A4" s="93" t="s">
        <v>797</v>
      </c>
      <c r="B4" s="98">
        <v>0.036</v>
      </c>
      <c r="C4" s="92">
        <f>C5*B4</f>
        <v>0</v>
      </c>
    </row>
    <row r="5" spans="1:3" ht="12.75">
      <c r="A5" s="93" t="s">
        <v>796</v>
      </c>
      <c r="B5" s="92"/>
      <c r="C5" s="92">
        <f>Rozpočet!F69</f>
        <v>0</v>
      </c>
    </row>
    <row r="6" spans="1:3" ht="12.75">
      <c r="A6" s="93" t="s">
        <v>795</v>
      </c>
      <c r="B6" s="92"/>
      <c r="C6" s="92">
        <f>Rozpočet!H69</f>
        <v>0</v>
      </c>
    </row>
    <row r="7" spans="1:3" ht="12.75">
      <c r="A7" s="97" t="s">
        <v>794</v>
      </c>
      <c r="B7" s="96"/>
      <c r="C7" s="96">
        <f>SUM(C4:C6)</f>
        <v>0</v>
      </c>
    </row>
    <row r="8" spans="1:3" ht="12.75">
      <c r="A8" s="93" t="s">
        <v>793</v>
      </c>
      <c r="B8" s="92">
        <v>0.03</v>
      </c>
      <c r="C8" s="92">
        <f>B8*(C5+C6)</f>
        <v>0</v>
      </c>
    </row>
    <row r="9" spans="1:3" ht="12.75">
      <c r="A9" s="93" t="s">
        <v>792</v>
      </c>
      <c r="B9" s="92"/>
      <c r="C9" s="92"/>
    </row>
    <row r="10" spans="1:3" ht="12.75">
      <c r="A10" s="93" t="s">
        <v>791</v>
      </c>
      <c r="B10" s="92"/>
      <c r="C10" s="92">
        <f>Rozpočet!J94</f>
        <v>0</v>
      </c>
    </row>
    <row r="11" spans="1:3" ht="12.75">
      <c r="A11" s="93" t="s">
        <v>790</v>
      </c>
      <c r="B11" s="92">
        <v>0.01</v>
      </c>
      <c r="C11" s="92">
        <f>C10*B11</f>
        <v>0</v>
      </c>
    </row>
    <row r="12" spans="1:3" ht="12.75">
      <c r="A12" s="97" t="s">
        <v>789</v>
      </c>
      <c r="B12" s="96"/>
      <c r="C12" s="96">
        <f>SUM(C7:C11)</f>
        <v>0</v>
      </c>
    </row>
    <row r="13" spans="1:3" ht="12.75">
      <c r="A13" s="93" t="s">
        <v>788</v>
      </c>
      <c r="B13" s="92"/>
      <c r="C13" s="92">
        <v>0</v>
      </c>
    </row>
    <row r="14" spans="1:3" ht="12.75">
      <c r="A14" s="93" t="s">
        <v>787</v>
      </c>
      <c r="B14" s="92"/>
      <c r="C14" s="92">
        <v>0</v>
      </c>
    </row>
    <row r="15" spans="1:3" ht="12.75">
      <c r="A15" s="93" t="s">
        <v>786</v>
      </c>
      <c r="B15" s="92"/>
      <c r="C15" s="92">
        <v>0</v>
      </c>
    </row>
    <row r="16" spans="1:3" ht="12.75">
      <c r="A16" s="95" t="s">
        <v>785</v>
      </c>
      <c r="B16" s="94"/>
      <c r="C16" s="94">
        <f>SUM(C12:C15)</f>
        <v>0</v>
      </c>
    </row>
    <row r="17" spans="1:3" ht="12.75">
      <c r="A17" s="93" t="s">
        <v>779</v>
      </c>
      <c r="B17" s="92"/>
      <c r="C17" s="92"/>
    </row>
    <row r="18" spans="1:3" ht="12.75">
      <c r="A18" s="95" t="s">
        <v>784</v>
      </c>
      <c r="B18" s="94"/>
      <c r="C18" s="94"/>
    </row>
    <row r="19" spans="1:3" ht="12.75">
      <c r="A19" s="93" t="s">
        <v>783</v>
      </c>
      <c r="B19" s="92"/>
      <c r="C19" s="92">
        <v>0</v>
      </c>
    </row>
    <row r="20" spans="1:3" ht="12.75">
      <c r="A20" s="93" t="s">
        <v>782</v>
      </c>
      <c r="B20" s="92"/>
      <c r="C20" s="92">
        <v>0</v>
      </c>
    </row>
    <row r="21" spans="1:3" ht="12.75">
      <c r="A21" s="95" t="s">
        <v>781</v>
      </c>
      <c r="B21" s="94"/>
      <c r="C21" s="94">
        <f>SUM(C19:C20)</f>
        <v>0</v>
      </c>
    </row>
    <row r="22" spans="1:3" ht="12.75">
      <c r="A22" s="93" t="s">
        <v>780</v>
      </c>
      <c r="B22" s="92"/>
      <c r="C22" s="92"/>
    </row>
    <row r="23" spans="1:3" ht="12.75">
      <c r="A23" s="93" t="s">
        <v>779</v>
      </c>
      <c r="B23" s="92"/>
      <c r="C23" s="92"/>
    </row>
    <row r="24" spans="1:3" ht="13.5">
      <c r="A24" s="91" t="s">
        <v>778</v>
      </c>
      <c r="B24" s="90"/>
      <c r="C24" s="90">
        <f>C16+C21</f>
        <v>0</v>
      </c>
    </row>
  </sheetData>
  <sheetProtection/>
  <printOptions/>
  <pageMargins left="0.787401575" right="0.787401575" top="0.984251969" bottom="0.984251969" header="0.4921259845" footer="0.4921259845"/>
  <pageSetup horizontalDpi="600" verticalDpi="600" orientation="portrait" paperSize="9" r:id="rId1"/>
  <headerFooter alignWithMargins="0">
    <oddHeader>&amp;LCelkem listů rekapitulace 1&amp;C1&amp;RD.1.4.1.1.2.</oddHeader>
  </headerFooter>
</worksheet>
</file>

<file path=xl/worksheets/sheet5.xml><?xml version="1.0" encoding="utf-8"?>
<worksheet xmlns="http://schemas.openxmlformats.org/spreadsheetml/2006/main" xmlns:r="http://schemas.openxmlformats.org/officeDocument/2006/relationships">
  <dimension ref="B1:L100"/>
  <sheetViews>
    <sheetView zoomScale="110" zoomScaleNormal="110" workbookViewId="0" topLeftCell="A1">
      <pane xSplit="10" ySplit="1" topLeftCell="K2" activePane="bottomRight" state="frozen"/>
      <selection pane="topLeft" activeCell="A1" sqref="A1"/>
      <selection pane="topRight" activeCell="K1" sqref="K1"/>
      <selection pane="bottomLeft" activeCell="A2" sqref="A2"/>
      <selection pane="bottomRight" activeCell="A68" sqref="A2:IV68"/>
    </sheetView>
  </sheetViews>
  <sheetFormatPr defaultColWidth="9.140625" defaultRowHeight="12.75" outlineLevelRow="1"/>
  <cols>
    <col min="1" max="1" width="9.140625" style="87" customWidth="1"/>
    <col min="2" max="2" width="49.57421875" style="89" customWidth="1"/>
    <col min="3" max="3" width="3.57421875" style="89" bestFit="1" customWidth="1"/>
    <col min="4" max="4" width="7.8515625" style="88" customWidth="1"/>
    <col min="5" max="5" width="8.57421875" style="88" customWidth="1"/>
    <col min="6" max="6" width="14.00390625" style="88" customWidth="1"/>
    <col min="7" max="7" width="9.00390625" style="88" customWidth="1"/>
    <col min="8" max="8" width="13.7109375" style="88" customWidth="1"/>
    <col min="9" max="9" width="8.28125" style="88" customWidth="1"/>
    <col min="10" max="10" width="15.8515625" style="88" customWidth="1"/>
    <col min="11" max="11" width="11.421875" style="87" bestFit="1" customWidth="1"/>
    <col min="12" max="12" width="17.57421875" style="87" customWidth="1"/>
    <col min="13" max="16384" width="9.140625" style="87" customWidth="1"/>
  </cols>
  <sheetData>
    <row r="1" spans="2:10" ht="12.75">
      <c r="B1" s="122" t="s">
        <v>801</v>
      </c>
      <c r="C1" s="122" t="s">
        <v>889</v>
      </c>
      <c r="D1" s="121" t="s">
        <v>888</v>
      </c>
      <c r="E1" s="121" t="s">
        <v>887</v>
      </c>
      <c r="F1" s="121" t="s">
        <v>886</v>
      </c>
      <c r="G1" s="121" t="s">
        <v>650</v>
      </c>
      <c r="H1" s="121" t="s">
        <v>885</v>
      </c>
      <c r="I1" s="121" t="s">
        <v>884</v>
      </c>
      <c r="J1" s="121" t="s">
        <v>883</v>
      </c>
    </row>
    <row r="2" spans="2:10" ht="13.5" hidden="1" outlineLevel="1">
      <c r="B2" s="91" t="s">
        <v>882</v>
      </c>
      <c r="C2" s="91"/>
      <c r="D2" s="91"/>
      <c r="E2" s="91"/>
      <c r="F2" s="91"/>
      <c r="G2" s="91"/>
      <c r="H2" s="91"/>
      <c r="I2" s="91"/>
      <c r="J2" s="91"/>
    </row>
    <row r="3" spans="2:10" ht="12.75" hidden="1" outlineLevel="1">
      <c r="B3" s="93" t="s">
        <v>881</v>
      </c>
      <c r="C3" s="93"/>
      <c r="D3" s="92"/>
      <c r="E3" s="92"/>
      <c r="F3" s="92"/>
      <c r="G3" s="92"/>
      <c r="H3" s="92"/>
      <c r="I3" s="92"/>
      <c r="J3" s="92"/>
    </row>
    <row r="4" spans="2:10" ht="12.75" hidden="1" outlineLevel="1">
      <c r="B4" s="93" t="s">
        <v>880</v>
      </c>
      <c r="C4" s="110"/>
      <c r="D4" s="107"/>
      <c r="E4" s="107"/>
      <c r="F4" s="107"/>
      <c r="G4" s="107"/>
      <c r="H4" s="107"/>
      <c r="I4" s="107"/>
      <c r="J4" s="107"/>
    </row>
    <row r="5" spans="2:10" ht="12.75" hidden="1" outlineLevel="1">
      <c r="B5" s="93" t="s">
        <v>879</v>
      </c>
      <c r="C5" s="93"/>
      <c r="D5" s="92"/>
      <c r="E5" s="92"/>
      <c r="F5" s="92"/>
      <c r="G5" s="92"/>
      <c r="H5" s="92"/>
      <c r="I5" s="92"/>
      <c r="J5" s="92"/>
    </row>
    <row r="6" spans="2:10" ht="12.75" hidden="1" outlineLevel="1">
      <c r="B6" s="93" t="s">
        <v>878</v>
      </c>
      <c r="C6" s="93"/>
      <c r="D6" s="92"/>
      <c r="E6" s="92"/>
      <c r="F6" s="92"/>
      <c r="G6" s="92"/>
      <c r="H6" s="92"/>
      <c r="I6" s="92"/>
      <c r="J6" s="92"/>
    </row>
    <row r="7" spans="2:10" ht="12.75" hidden="1" outlineLevel="1">
      <c r="B7" s="93" t="s">
        <v>877</v>
      </c>
      <c r="C7" s="93"/>
      <c r="D7" s="92"/>
      <c r="E7" s="92"/>
      <c r="F7" s="92"/>
      <c r="G7" s="92"/>
      <c r="H7" s="92"/>
      <c r="I7" s="92"/>
      <c r="J7" s="92"/>
    </row>
    <row r="8" spans="2:10" ht="12.75" hidden="1" outlineLevel="1">
      <c r="B8" s="93" t="s">
        <v>876</v>
      </c>
      <c r="C8" s="93"/>
      <c r="D8" s="92"/>
      <c r="E8" s="92"/>
      <c r="F8" s="92"/>
      <c r="G8" s="92"/>
      <c r="H8" s="92"/>
      <c r="I8" s="92"/>
      <c r="J8" s="92"/>
    </row>
    <row r="9" spans="2:10" ht="12.75" hidden="1" outlineLevel="1">
      <c r="B9" s="93" t="s">
        <v>875</v>
      </c>
      <c r="C9" s="93"/>
      <c r="D9" s="92"/>
      <c r="E9" s="92"/>
      <c r="F9" s="92"/>
      <c r="G9" s="92"/>
      <c r="H9" s="92"/>
      <c r="I9" s="92"/>
      <c r="J9" s="92"/>
    </row>
    <row r="10" spans="2:10" ht="12.75" hidden="1" outlineLevel="1">
      <c r="B10" s="93" t="s">
        <v>874</v>
      </c>
      <c r="C10" s="93"/>
      <c r="D10" s="92"/>
      <c r="E10" s="92"/>
      <c r="F10" s="92"/>
      <c r="G10" s="92"/>
      <c r="H10" s="92"/>
      <c r="I10" s="92"/>
      <c r="J10" s="92"/>
    </row>
    <row r="11" spans="2:10" ht="12.75" hidden="1" outlineLevel="1">
      <c r="B11" s="93" t="s">
        <v>873</v>
      </c>
      <c r="C11" s="93"/>
      <c r="D11" s="92"/>
      <c r="E11" s="92"/>
      <c r="F11" s="92"/>
      <c r="G11" s="92"/>
      <c r="H11" s="92"/>
      <c r="I11" s="92"/>
      <c r="J11" s="92"/>
    </row>
    <row r="12" spans="2:10" ht="12.75" hidden="1" outlineLevel="1">
      <c r="B12" s="93" t="s">
        <v>872</v>
      </c>
      <c r="C12" s="93"/>
      <c r="D12" s="92"/>
      <c r="E12" s="92"/>
      <c r="F12" s="92"/>
      <c r="G12" s="92"/>
      <c r="H12" s="92"/>
      <c r="I12" s="92"/>
      <c r="J12" s="92"/>
    </row>
    <row r="13" spans="2:10" ht="12.75" hidden="1" outlineLevel="1">
      <c r="B13" s="93" t="s">
        <v>871</v>
      </c>
      <c r="C13" s="93"/>
      <c r="D13" s="92"/>
      <c r="E13" s="92"/>
      <c r="F13" s="92"/>
      <c r="G13" s="92"/>
      <c r="H13" s="92"/>
      <c r="I13" s="92"/>
      <c r="J13" s="92"/>
    </row>
    <row r="14" spans="2:10" ht="12.75" hidden="1" outlineLevel="1">
      <c r="B14" s="93"/>
      <c r="C14" s="93"/>
      <c r="D14" s="92"/>
      <c r="E14" s="92"/>
      <c r="F14" s="92"/>
      <c r="G14" s="92"/>
      <c r="H14" s="92"/>
      <c r="I14" s="92"/>
      <c r="J14" s="92"/>
    </row>
    <row r="15" spans="2:10" ht="13.5" hidden="1" outlineLevel="1">
      <c r="B15" s="91" t="s">
        <v>870</v>
      </c>
      <c r="C15" s="91"/>
      <c r="D15" s="91"/>
      <c r="E15" s="91"/>
      <c r="F15" s="91"/>
      <c r="G15" s="91"/>
      <c r="H15" s="91"/>
      <c r="I15" s="91"/>
      <c r="J15" s="91"/>
    </row>
    <row r="16" spans="2:10" ht="12.75" hidden="1" outlineLevel="1">
      <c r="B16" s="93"/>
      <c r="C16" s="93"/>
      <c r="D16" s="93"/>
      <c r="E16" s="93"/>
      <c r="F16" s="93"/>
      <c r="G16" s="93"/>
      <c r="H16" s="93"/>
      <c r="I16" s="93"/>
      <c r="J16" s="93"/>
    </row>
    <row r="17" spans="2:10" ht="12.75" hidden="1" outlineLevel="1">
      <c r="B17" s="95" t="s">
        <v>869</v>
      </c>
      <c r="C17" s="95" t="s">
        <v>779</v>
      </c>
      <c r="D17" s="94"/>
      <c r="E17" s="94"/>
      <c r="F17" s="94"/>
      <c r="G17" s="94"/>
      <c r="H17" s="94"/>
      <c r="I17" s="94"/>
      <c r="J17" s="94"/>
    </row>
    <row r="18" spans="2:10" ht="12.75" hidden="1" outlineLevel="1">
      <c r="B18" s="110" t="s">
        <v>868</v>
      </c>
      <c r="C18" s="110" t="s">
        <v>779</v>
      </c>
      <c r="D18" s="107"/>
      <c r="E18" s="107"/>
      <c r="F18" s="107"/>
      <c r="G18" s="107"/>
      <c r="H18" s="107"/>
      <c r="I18" s="107"/>
      <c r="J18" s="107"/>
    </row>
    <row r="19" spans="2:10" ht="12.75" hidden="1" outlineLevel="1">
      <c r="B19" s="93" t="s">
        <v>867</v>
      </c>
      <c r="C19" s="93" t="s">
        <v>628</v>
      </c>
      <c r="D19" s="92">
        <v>0</v>
      </c>
      <c r="E19" s="92">
        <v>0</v>
      </c>
      <c r="F19" s="92">
        <f>D19*E19</f>
        <v>0</v>
      </c>
      <c r="G19" s="92">
        <v>0</v>
      </c>
      <c r="H19" s="92">
        <f>D19*G19</f>
        <v>0</v>
      </c>
      <c r="I19" s="92">
        <f>E19+G19</f>
        <v>0</v>
      </c>
      <c r="J19" s="92">
        <f>D19*I19</f>
        <v>0</v>
      </c>
    </row>
    <row r="20" spans="2:10" ht="12.75" hidden="1" outlineLevel="1">
      <c r="B20" s="93" t="s">
        <v>866</v>
      </c>
      <c r="C20" s="93" t="s">
        <v>628</v>
      </c>
      <c r="D20" s="92">
        <v>0</v>
      </c>
      <c r="E20" s="92">
        <v>0</v>
      </c>
      <c r="F20" s="92">
        <f>D20*E20</f>
        <v>0</v>
      </c>
      <c r="G20" s="92">
        <v>0</v>
      </c>
      <c r="H20" s="92">
        <f>D20*G20</f>
        <v>0</v>
      </c>
      <c r="I20" s="92">
        <f>E20+G20</f>
        <v>0</v>
      </c>
      <c r="J20" s="92">
        <f>D20*I20</f>
        <v>0</v>
      </c>
    </row>
    <row r="21" spans="2:10" ht="12.75" hidden="1" outlineLevel="1">
      <c r="B21" s="95" t="s">
        <v>865</v>
      </c>
      <c r="C21" s="95" t="s">
        <v>779</v>
      </c>
      <c r="D21" s="94"/>
      <c r="E21" s="94"/>
      <c r="F21" s="94">
        <f>SUM(F19:F20)</f>
        <v>0</v>
      </c>
      <c r="G21" s="94"/>
      <c r="H21" s="94">
        <f>SUM(H19:H20)</f>
        <v>0</v>
      </c>
      <c r="I21" s="94"/>
      <c r="J21" s="94">
        <f>F21+H21</f>
        <v>0</v>
      </c>
    </row>
    <row r="22" spans="2:10" ht="12.75" hidden="1" outlineLevel="1">
      <c r="B22" s="93" t="s">
        <v>779</v>
      </c>
      <c r="C22" s="93" t="s">
        <v>779</v>
      </c>
      <c r="D22" s="92"/>
      <c r="E22" s="92"/>
      <c r="F22" s="92"/>
      <c r="G22" s="92"/>
      <c r="H22" s="92"/>
      <c r="I22" s="92"/>
      <c r="J22" s="92"/>
    </row>
    <row r="23" spans="2:10" ht="12.75" hidden="1" outlineLevel="1">
      <c r="B23" s="95" t="s">
        <v>864</v>
      </c>
      <c r="C23" s="95" t="s">
        <v>779</v>
      </c>
      <c r="D23" s="94"/>
      <c r="E23" s="94"/>
      <c r="F23" s="94"/>
      <c r="G23" s="94"/>
      <c r="H23" s="94"/>
      <c r="I23" s="94"/>
      <c r="J23" s="94"/>
    </row>
    <row r="24" spans="2:10" ht="12.75" hidden="1" outlineLevel="1">
      <c r="B24" s="110" t="s">
        <v>863</v>
      </c>
      <c r="C24" s="110" t="s">
        <v>779</v>
      </c>
      <c r="D24" s="107"/>
      <c r="E24" s="107"/>
      <c r="F24" s="107"/>
      <c r="G24" s="107"/>
      <c r="H24" s="107"/>
      <c r="I24" s="107"/>
      <c r="J24" s="107"/>
    </row>
    <row r="25" spans="2:10" ht="12.75" hidden="1" outlineLevel="1">
      <c r="B25" s="93" t="s">
        <v>862</v>
      </c>
      <c r="C25" s="93" t="s">
        <v>628</v>
      </c>
      <c r="D25" s="92">
        <v>0</v>
      </c>
      <c r="E25" s="92">
        <v>0</v>
      </c>
      <c r="F25" s="92">
        <f>D25*E25</f>
        <v>0</v>
      </c>
      <c r="G25" s="92">
        <v>0</v>
      </c>
      <c r="H25" s="92">
        <f>D25*G25</f>
        <v>0</v>
      </c>
      <c r="I25" s="92">
        <f>E25+G25</f>
        <v>0</v>
      </c>
      <c r="J25" s="92">
        <f>D25*I25</f>
        <v>0</v>
      </c>
    </row>
    <row r="26" spans="2:10" ht="12.75" hidden="1" outlineLevel="1">
      <c r="B26" s="93" t="s">
        <v>861</v>
      </c>
      <c r="C26" s="93" t="s">
        <v>628</v>
      </c>
      <c r="D26" s="92">
        <v>0</v>
      </c>
      <c r="E26" s="92">
        <v>0</v>
      </c>
      <c r="F26" s="92">
        <f>D26*E26</f>
        <v>0</v>
      </c>
      <c r="G26" s="92">
        <v>0</v>
      </c>
      <c r="H26" s="92">
        <f>D26*G26</f>
        <v>0</v>
      </c>
      <c r="I26" s="92">
        <f>E26+G26</f>
        <v>0</v>
      </c>
      <c r="J26" s="92">
        <f>D26*I26</f>
        <v>0</v>
      </c>
    </row>
    <row r="27" spans="2:10" ht="12.75" hidden="1" outlineLevel="1">
      <c r="B27" s="93" t="s">
        <v>860</v>
      </c>
      <c r="C27" s="93" t="s">
        <v>805</v>
      </c>
      <c r="D27" s="106">
        <v>0</v>
      </c>
      <c r="E27" s="106">
        <v>0</v>
      </c>
      <c r="F27" s="106">
        <f>D27*E27</f>
        <v>0</v>
      </c>
      <c r="G27" s="106">
        <v>0</v>
      </c>
      <c r="H27" s="106">
        <f>D27*G27</f>
        <v>0</v>
      </c>
      <c r="I27" s="106">
        <f>E27+G27</f>
        <v>0</v>
      </c>
      <c r="J27" s="106">
        <f>D27*I27</f>
        <v>0</v>
      </c>
    </row>
    <row r="28" spans="2:10" ht="12.75" hidden="1" outlineLevel="1">
      <c r="B28" s="93" t="s">
        <v>859</v>
      </c>
      <c r="C28" s="93" t="s">
        <v>805</v>
      </c>
      <c r="D28" s="92">
        <v>0</v>
      </c>
      <c r="E28" s="92">
        <v>0</v>
      </c>
      <c r="F28" s="92">
        <v>0</v>
      </c>
      <c r="G28" s="92">
        <v>0</v>
      </c>
      <c r="H28" s="92">
        <f>D28*G28</f>
        <v>0</v>
      </c>
      <c r="I28" s="92">
        <f>E28+G28</f>
        <v>0</v>
      </c>
      <c r="J28" s="92">
        <f>D28*I28</f>
        <v>0</v>
      </c>
    </row>
    <row r="29" spans="2:11" ht="12.75" hidden="1" outlineLevel="1">
      <c r="B29" s="95" t="s">
        <v>858</v>
      </c>
      <c r="C29" s="120" t="s">
        <v>779</v>
      </c>
      <c r="D29" s="114"/>
      <c r="E29" s="114"/>
      <c r="F29" s="114">
        <f>SUM(F25:F28)</f>
        <v>0</v>
      </c>
      <c r="G29" s="114"/>
      <c r="H29" s="114">
        <f>SUM(H25:H28)</f>
        <v>0</v>
      </c>
      <c r="I29" s="114"/>
      <c r="J29" s="114">
        <f>SUM(J25:J28)</f>
        <v>0</v>
      </c>
      <c r="K29" s="89"/>
    </row>
    <row r="30" spans="2:11" ht="12.75" hidden="1" outlineLevel="1">
      <c r="B30" s="92"/>
      <c r="C30" s="92"/>
      <c r="D30" s="92"/>
      <c r="E30" s="92"/>
      <c r="F30" s="92"/>
      <c r="G30" s="92"/>
      <c r="H30" s="92"/>
      <c r="I30" s="92"/>
      <c r="J30" s="92"/>
      <c r="K30" s="89"/>
    </row>
    <row r="31" spans="2:10" ht="12.75" hidden="1" outlineLevel="1">
      <c r="B31" s="95" t="s">
        <v>857</v>
      </c>
      <c r="C31" s="95" t="s">
        <v>779</v>
      </c>
      <c r="D31" s="95"/>
      <c r="E31" s="95"/>
      <c r="F31" s="95"/>
      <c r="G31" s="95"/>
      <c r="H31" s="95"/>
      <c r="I31" s="95"/>
      <c r="J31" s="95"/>
    </row>
    <row r="32" spans="2:10" ht="12.75" hidden="1" outlineLevel="1">
      <c r="B32" s="110" t="s">
        <v>856</v>
      </c>
      <c r="C32" s="110"/>
      <c r="D32" s="110"/>
      <c r="E32" s="110"/>
      <c r="F32" s="110"/>
      <c r="G32" s="110"/>
      <c r="H32" s="110"/>
      <c r="I32" s="110"/>
      <c r="J32" s="110"/>
    </row>
    <row r="33" spans="2:10" ht="12.75" hidden="1" outlineLevel="1">
      <c r="B33" s="93" t="s">
        <v>855</v>
      </c>
      <c r="C33" s="93"/>
      <c r="D33" s="92"/>
      <c r="E33" s="92"/>
      <c r="F33" s="92"/>
      <c r="G33" s="92"/>
      <c r="H33" s="92"/>
      <c r="I33" s="92"/>
      <c r="J33" s="92"/>
    </row>
    <row r="34" spans="2:10" ht="12.75" hidden="1" outlineLevel="1">
      <c r="B34" s="93" t="s">
        <v>854</v>
      </c>
      <c r="C34" s="93" t="s">
        <v>805</v>
      </c>
      <c r="D34" s="92">
        <v>0</v>
      </c>
      <c r="E34" s="92">
        <v>0</v>
      </c>
      <c r="F34" s="92">
        <f>D34*E34</f>
        <v>0</v>
      </c>
      <c r="G34" s="92">
        <v>0</v>
      </c>
      <c r="H34" s="92">
        <f>D34*G34</f>
        <v>0</v>
      </c>
      <c r="I34" s="92">
        <f>E34+G34</f>
        <v>0</v>
      </c>
      <c r="J34" s="92">
        <f>D34*I34</f>
        <v>0</v>
      </c>
    </row>
    <row r="35" spans="2:10" ht="12.75" hidden="1" outlineLevel="1">
      <c r="B35" s="93" t="s">
        <v>853</v>
      </c>
      <c r="C35" s="93" t="s">
        <v>805</v>
      </c>
      <c r="D35" s="92">
        <v>0</v>
      </c>
      <c r="E35" s="92">
        <v>0</v>
      </c>
      <c r="F35" s="92">
        <f>D35*E35</f>
        <v>0</v>
      </c>
      <c r="G35" s="92">
        <v>0</v>
      </c>
      <c r="H35" s="92">
        <f>D35*G35</f>
        <v>0</v>
      </c>
      <c r="I35" s="92">
        <f>E35+G35</f>
        <v>0</v>
      </c>
      <c r="J35" s="92">
        <f>D35*I35</f>
        <v>0</v>
      </c>
    </row>
    <row r="36" spans="2:10" ht="12.75" hidden="1" outlineLevel="1">
      <c r="B36" s="93"/>
      <c r="C36" s="93"/>
      <c r="D36" s="92"/>
      <c r="E36" s="92"/>
      <c r="F36" s="92"/>
      <c r="G36" s="92"/>
      <c r="H36" s="92"/>
      <c r="I36" s="92"/>
      <c r="J36" s="92"/>
    </row>
    <row r="37" spans="2:10" ht="12.75" hidden="1" outlineLevel="1">
      <c r="B37" s="93" t="s">
        <v>852</v>
      </c>
      <c r="C37" s="93"/>
      <c r="D37" s="92"/>
      <c r="E37" s="92"/>
      <c r="F37" s="92"/>
      <c r="G37" s="92"/>
      <c r="H37" s="92"/>
      <c r="I37" s="92"/>
      <c r="J37" s="92"/>
    </row>
    <row r="38" spans="2:10" ht="12.75" hidden="1" outlineLevel="1">
      <c r="B38" s="93" t="s">
        <v>851</v>
      </c>
      <c r="C38" s="93" t="s">
        <v>805</v>
      </c>
      <c r="D38" s="92">
        <v>0</v>
      </c>
      <c r="E38" s="92">
        <v>0</v>
      </c>
      <c r="F38" s="92">
        <f>D38*E38</f>
        <v>0</v>
      </c>
      <c r="G38" s="92">
        <v>0</v>
      </c>
      <c r="H38" s="92">
        <f>D38*G38</f>
        <v>0</v>
      </c>
      <c r="I38" s="92">
        <f>E38+G38</f>
        <v>0</v>
      </c>
      <c r="J38" s="92">
        <f>D38*I38</f>
        <v>0</v>
      </c>
    </row>
    <row r="39" spans="2:10" ht="12.75" hidden="1" outlineLevel="1">
      <c r="B39" s="95" t="s">
        <v>850</v>
      </c>
      <c r="C39" s="95" t="s">
        <v>779</v>
      </c>
      <c r="D39" s="95"/>
      <c r="E39" s="120"/>
      <c r="F39" s="114">
        <f>SUM(F34:F38)</f>
        <v>0</v>
      </c>
      <c r="G39" s="120"/>
      <c r="H39" s="114">
        <f>SUM(H34:H38)</f>
        <v>0</v>
      </c>
      <c r="I39" s="120"/>
      <c r="J39" s="114">
        <f>SUM(J34:J38)</f>
        <v>0</v>
      </c>
    </row>
    <row r="40" spans="2:10" ht="12.75" hidden="1" outlineLevel="1">
      <c r="B40" s="93" t="s">
        <v>779</v>
      </c>
      <c r="C40" s="93" t="s">
        <v>779</v>
      </c>
      <c r="D40" s="92"/>
      <c r="E40" s="92"/>
      <c r="F40" s="92"/>
      <c r="G40" s="92"/>
      <c r="H40" s="92"/>
      <c r="I40" s="92"/>
      <c r="J40" s="92"/>
    </row>
    <row r="41" spans="2:10" ht="12.75" hidden="1" outlineLevel="1">
      <c r="B41" s="95" t="s">
        <v>849</v>
      </c>
      <c r="C41" s="95" t="s">
        <v>779</v>
      </c>
      <c r="D41" s="95"/>
      <c r="E41" s="95"/>
      <c r="F41" s="95"/>
      <c r="G41" s="95"/>
      <c r="H41" s="95"/>
      <c r="I41" s="95"/>
      <c r="J41" s="95"/>
    </row>
    <row r="42" spans="2:10" ht="12.75" hidden="1" outlineLevel="1">
      <c r="B42" s="109" t="s">
        <v>848</v>
      </c>
      <c r="C42" s="107" t="s">
        <v>779</v>
      </c>
      <c r="D42" s="107"/>
      <c r="E42" s="107"/>
      <c r="F42" s="107"/>
      <c r="G42" s="107"/>
      <c r="H42" s="107"/>
      <c r="I42" s="107"/>
      <c r="J42" s="107"/>
    </row>
    <row r="43" spans="2:10" ht="12.75" hidden="1" outlineLevel="1">
      <c r="B43" s="93" t="s">
        <v>847</v>
      </c>
      <c r="C43" s="93" t="s">
        <v>805</v>
      </c>
      <c r="D43" s="92">
        <v>0</v>
      </c>
      <c r="E43" s="92">
        <v>0</v>
      </c>
      <c r="F43" s="92">
        <f>D43*E43</f>
        <v>0</v>
      </c>
      <c r="G43" s="92">
        <v>0</v>
      </c>
      <c r="H43" s="92">
        <f>D43*G43</f>
        <v>0</v>
      </c>
      <c r="I43" s="92">
        <f>E43+G43</f>
        <v>0</v>
      </c>
      <c r="J43" s="92">
        <f>D43*I43</f>
        <v>0</v>
      </c>
    </row>
    <row r="44" spans="2:10" ht="12.75" hidden="1" outlineLevel="1">
      <c r="B44" s="93" t="s">
        <v>846</v>
      </c>
      <c r="C44" s="93" t="s">
        <v>805</v>
      </c>
      <c r="D44" s="92">
        <v>0</v>
      </c>
      <c r="E44" s="92">
        <v>0</v>
      </c>
      <c r="F44" s="92">
        <f>D44*E44</f>
        <v>0</v>
      </c>
      <c r="G44" s="92">
        <v>0</v>
      </c>
      <c r="H44" s="92">
        <f>D44*G44</f>
        <v>0</v>
      </c>
      <c r="I44" s="92">
        <f>E44+G44</f>
        <v>0</v>
      </c>
      <c r="J44" s="92">
        <f>D44*I44</f>
        <v>0</v>
      </c>
    </row>
    <row r="45" spans="2:10" ht="12.75" hidden="1" outlineLevel="1">
      <c r="B45" s="93" t="s">
        <v>845</v>
      </c>
      <c r="C45" s="119" t="s">
        <v>805</v>
      </c>
      <c r="D45" s="92">
        <v>0</v>
      </c>
      <c r="E45" s="92">
        <v>0</v>
      </c>
      <c r="F45" s="92">
        <f>D45*E45</f>
        <v>0</v>
      </c>
      <c r="G45" s="92">
        <v>0</v>
      </c>
      <c r="H45" s="92">
        <f>D45*G45</f>
        <v>0</v>
      </c>
      <c r="I45" s="92">
        <f>E45+G45</f>
        <v>0</v>
      </c>
      <c r="J45" s="92">
        <f>D45*I45</f>
        <v>0</v>
      </c>
    </row>
    <row r="46" spans="2:10" ht="12.75" hidden="1" outlineLevel="1">
      <c r="B46" s="95" t="s">
        <v>844</v>
      </c>
      <c r="C46" s="95" t="s">
        <v>779</v>
      </c>
      <c r="D46" s="114"/>
      <c r="E46" s="114"/>
      <c r="F46" s="114">
        <f>SUM(F43:F45)</f>
        <v>0</v>
      </c>
      <c r="G46" s="114"/>
      <c r="H46" s="114">
        <f>SUM(H43:H45)</f>
        <v>0</v>
      </c>
      <c r="I46" s="114"/>
      <c r="J46" s="114">
        <f>SUM(J43:J45)</f>
        <v>0</v>
      </c>
    </row>
    <row r="47" spans="2:11" ht="12.75" hidden="1" outlineLevel="1">
      <c r="B47" s="92"/>
      <c r="C47" s="92"/>
      <c r="D47" s="92"/>
      <c r="E47" s="92"/>
      <c r="F47" s="92"/>
      <c r="G47" s="92"/>
      <c r="H47" s="92"/>
      <c r="I47" s="92"/>
      <c r="J47" s="92"/>
      <c r="K47" s="103"/>
    </row>
    <row r="48" spans="2:10" ht="12.75" hidden="1" outlineLevel="1">
      <c r="B48" s="95" t="s">
        <v>843</v>
      </c>
      <c r="C48" s="95" t="s">
        <v>779</v>
      </c>
      <c r="D48" s="95"/>
      <c r="E48" s="95"/>
      <c r="F48" s="95"/>
      <c r="G48" s="95"/>
      <c r="H48" s="95"/>
      <c r="I48" s="95"/>
      <c r="J48" s="95"/>
    </row>
    <row r="49" spans="2:10" ht="12.75" hidden="1" outlineLevel="1">
      <c r="B49" s="118" t="s">
        <v>842</v>
      </c>
      <c r="C49" s="118" t="s">
        <v>628</v>
      </c>
      <c r="D49" s="92">
        <v>0</v>
      </c>
      <c r="E49" s="92">
        <v>0</v>
      </c>
      <c r="F49" s="117">
        <f>D49*E49</f>
        <v>0</v>
      </c>
      <c r="G49" s="92">
        <v>0</v>
      </c>
      <c r="H49" s="92">
        <f>D49*G49</f>
        <v>0</v>
      </c>
      <c r="I49" s="92">
        <f>E49+G49</f>
        <v>0</v>
      </c>
      <c r="J49" s="92">
        <f>D49*I49</f>
        <v>0</v>
      </c>
    </row>
    <row r="50" spans="2:10" ht="12.75" hidden="1" outlineLevel="1">
      <c r="B50" s="93" t="s">
        <v>841</v>
      </c>
      <c r="C50" s="93" t="s">
        <v>805</v>
      </c>
      <c r="D50" s="92">
        <v>0</v>
      </c>
      <c r="E50" s="92">
        <v>0</v>
      </c>
      <c r="F50" s="117">
        <f>D50*E50</f>
        <v>0</v>
      </c>
      <c r="G50" s="92">
        <v>0</v>
      </c>
      <c r="H50" s="92">
        <f>D50*G50</f>
        <v>0</v>
      </c>
      <c r="I50" s="92">
        <f>E50+G50</f>
        <v>0</v>
      </c>
      <c r="J50" s="92">
        <f>D50*I50</f>
        <v>0</v>
      </c>
    </row>
    <row r="51" spans="2:10" ht="12.75" hidden="1" outlineLevel="1">
      <c r="B51" s="95" t="s">
        <v>840</v>
      </c>
      <c r="C51" s="95"/>
      <c r="D51" s="95"/>
      <c r="E51" s="95"/>
      <c r="F51" s="116">
        <f>SUM(F49:F50)</f>
        <v>0</v>
      </c>
      <c r="G51" s="95"/>
      <c r="H51" s="114">
        <f>SUM(H49:H50)</f>
        <v>0</v>
      </c>
      <c r="I51" s="95"/>
      <c r="J51" s="114">
        <f>SUM(J49:J50)</f>
        <v>0</v>
      </c>
    </row>
    <row r="52" spans="2:10" ht="12.75" hidden="1" outlineLevel="1">
      <c r="B52" s="92"/>
      <c r="C52" s="92"/>
      <c r="D52" s="92"/>
      <c r="E52" s="92"/>
      <c r="F52" s="92"/>
      <c r="G52" s="92"/>
      <c r="H52" s="92"/>
      <c r="I52" s="92"/>
      <c r="J52" s="92"/>
    </row>
    <row r="53" spans="2:10" ht="12.75" hidden="1" outlineLevel="1">
      <c r="B53" s="95" t="s">
        <v>764</v>
      </c>
      <c r="C53" s="95"/>
      <c r="D53" s="95"/>
      <c r="E53" s="95"/>
      <c r="F53" s="95"/>
      <c r="G53" s="95"/>
      <c r="H53" s="95"/>
      <c r="I53" s="95"/>
      <c r="J53" s="95"/>
    </row>
    <row r="54" spans="2:10" ht="12.75" hidden="1" outlineLevel="1">
      <c r="B54" s="93" t="s">
        <v>839</v>
      </c>
      <c r="C54" s="93" t="s">
        <v>805</v>
      </c>
      <c r="D54" s="106">
        <v>0</v>
      </c>
      <c r="E54" s="106">
        <v>0</v>
      </c>
      <c r="F54" s="106">
        <f>D54*E54</f>
        <v>0</v>
      </c>
      <c r="G54" s="106">
        <v>0</v>
      </c>
      <c r="H54" s="106">
        <f>D54*G54</f>
        <v>0</v>
      </c>
      <c r="I54" s="106">
        <f>E54+G54</f>
        <v>0</v>
      </c>
      <c r="J54" s="106">
        <f>D54*I54</f>
        <v>0</v>
      </c>
    </row>
    <row r="55" spans="2:11" ht="12.75" hidden="1" outlineLevel="1">
      <c r="B55" s="95" t="s">
        <v>838</v>
      </c>
      <c r="C55" s="95" t="s">
        <v>779</v>
      </c>
      <c r="D55" s="115"/>
      <c r="E55" s="115"/>
      <c r="F55" s="114">
        <f>SUM(F54:F54)</f>
        <v>0</v>
      </c>
      <c r="G55" s="115"/>
      <c r="H55" s="114">
        <f>SUM(H54:H54)</f>
        <v>0</v>
      </c>
      <c r="I55" s="115"/>
      <c r="J55" s="114">
        <f>F55+H55</f>
        <v>0</v>
      </c>
      <c r="K55" s="103"/>
    </row>
    <row r="56" spans="2:10" ht="12.75" hidden="1" outlineLevel="1">
      <c r="B56" s="93"/>
      <c r="C56" s="93"/>
      <c r="D56" s="93"/>
      <c r="E56" s="93"/>
      <c r="F56" s="93"/>
      <c r="G56" s="93"/>
      <c r="H56" s="93"/>
      <c r="I56" s="93"/>
      <c r="J56" s="93"/>
    </row>
    <row r="57" spans="2:10" ht="12.75" hidden="1" outlineLevel="1">
      <c r="B57" s="95" t="s">
        <v>829</v>
      </c>
      <c r="C57" s="95" t="s">
        <v>779</v>
      </c>
      <c r="D57" s="95"/>
      <c r="E57" s="95"/>
      <c r="F57" s="95"/>
      <c r="G57" s="95"/>
      <c r="H57" s="95"/>
      <c r="I57" s="95"/>
      <c r="J57" s="95"/>
    </row>
    <row r="58" spans="2:10" ht="12.75" hidden="1" outlineLevel="1">
      <c r="B58" s="110" t="s">
        <v>837</v>
      </c>
      <c r="C58" s="110" t="s">
        <v>779</v>
      </c>
      <c r="D58" s="107"/>
      <c r="E58" s="107"/>
      <c r="F58" s="107"/>
      <c r="G58" s="107"/>
      <c r="H58" s="107"/>
      <c r="I58" s="107"/>
      <c r="J58" s="107"/>
    </row>
    <row r="59" spans="2:10" ht="12.75" hidden="1" outlineLevel="1">
      <c r="B59" s="93" t="s">
        <v>836</v>
      </c>
      <c r="C59" s="93" t="s">
        <v>830</v>
      </c>
      <c r="D59" s="92">
        <v>0</v>
      </c>
      <c r="E59" s="92">
        <v>0</v>
      </c>
      <c r="F59" s="92">
        <f>D59*E59</f>
        <v>0</v>
      </c>
      <c r="G59" s="92">
        <v>0</v>
      </c>
      <c r="H59" s="92">
        <f>D59*G59</f>
        <v>0</v>
      </c>
      <c r="I59" s="92">
        <f>E59+G59</f>
        <v>0</v>
      </c>
      <c r="J59" s="92">
        <f>D59*I59</f>
        <v>0</v>
      </c>
    </row>
    <row r="60" spans="2:10" ht="12.75" hidden="1" outlineLevel="1">
      <c r="B60" s="110" t="s">
        <v>835</v>
      </c>
      <c r="C60" s="110" t="s">
        <v>779</v>
      </c>
      <c r="D60" s="107"/>
      <c r="E60" s="107"/>
      <c r="F60" s="107"/>
      <c r="G60" s="107"/>
      <c r="H60" s="107"/>
      <c r="I60" s="107"/>
      <c r="J60" s="107"/>
    </row>
    <row r="61" spans="2:10" ht="12.75" hidden="1" outlineLevel="1">
      <c r="B61" s="93" t="s">
        <v>834</v>
      </c>
      <c r="C61" s="93" t="s">
        <v>830</v>
      </c>
      <c r="D61" s="92">
        <v>0</v>
      </c>
      <c r="E61" s="92">
        <v>0</v>
      </c>
      <c r="F61" s="92">
        <f>D61*E61</f>
        <v>0</v>
      </c>
      <c r="G61" s="92">
        <v>0</v>
      </c>
      <c r="H61" s="92">
        <f>D61*G61</f>
        <v>0</v>
      </c>
      <c r="I61" s="92">
        <f>E61+G61</f>
        <v>0</v>
      </c>
      <c r="J61" s="92">
        <f>D61*I61</f>
        <v>0</v>
      </c>
    </row>
    <row r="62" spans="2:10" ht="12.75" hidden="1" outlineLevel="1">
      <c r="B62" s="93" t="s">
        <v>833</v>
      </c>
      <c r="C62" s="93" t="s">
        <v>830</v>
      </c>
      <c r="D62" s="92">
        <v>0</v>
      </c>
      <c r="E62" s="92">
        <v>0</v>
      </c>
      <c r="F62" s="92">
        <f>D62*E62</f>
        <v>0</v>
      </c>
      <c r="G62" s="92">
        <v>0</v>
      </c>
      <c r="H62" s="92">
        <f>D62*G62</f>
        <v>0</v>
      </c>
      <c r="I62" s="92">
        <f>E62+G62</f>
        <v>0</v>
      </c>
      <c r="J62" s="92">
        <f>D62*I62</f>
        <v>0</v>
      </c>
    </row>
    <row r="63" spans="2:10" ht="12.75" hidden="1" outlineLevel="1">
      <c r="B63" s="93" t="s">
        <v>832</v>
      </c>
      <c r="C63" s="93" t="s">
        <v>830</v>
      </c>
      <c r="D63" s="92">
        <v>0</v>
      </c>
      <c r="E63" s="92">
        <v>0</v>
      </c>
      <c r="F63" s="92">
        <f>D63*E63</f>
        <v>0</v>
      </c>
      <c r="G63" s="92">
        <v>0</v>
      </c>
      <c r="H63" s="92">
        <f>D63*G63</f>
        <v>0</v>
      </c>
      <c r="I63" s="92">
        <f>E63+G63</f>
        <v>0</v>
      </c>
      <c r="J63" s="92">
        <f>D63*I63</f>
        <v>0</v>
      </c>
    </row>
    <row r="64" spans="2:10" ht="12.75" hidden="1" outlineLevel="1">
      <c r="B64" s="93" t="s">
        <v>831</v>
      </c>
      <c r="C64" s="93" t="s">
        <v>830</v>
      </c>
      <c r="D64" s="92">
        <v>0</v>
      </c>
      <c r="E64" s="92">
        <v>0</v>
      </c>
      <c r="F64" s="92">
        <f>D64*E64</f>
        <v>0</v>
      </c>
      <c r="G64" s="92">
        <v>0</v>
      </c>
      <c r="H64" s="92">
        <f>D64*G64</f>
        <v>0</v>
      </c>
      <c r="I64" s="92">
        <f>E64+G64</f>
        <v>0</v>
      </c>
      <c r="J64" s="92">
        <f>D64*I64</f>
        <v>0</v>
      </c>
    </row>
    <row r="65" spans="2:10" ht="12.75" hidden="1" outlineLevel="1">
      <c r="B65" s="95" t="s">
        <v>829</v>
      </c>
      <c r="C65" s="114"/>
      <c r="D65" s="114"/>
      <c r="E65" s="114"/>
      <c r="F65" s="114">
        <f>SUM(F58:F64)</f>
        <v>0</v>
      </c>
      <c r="G65" s="114"/>
      <c r="H65" s="114">
        <f>SUM(H59:H64)</f>
        <v>0</v>
      </c>
      <c r="I65" s="114"/>
      <c r="J65" s="114">
        <f>SUM(J59:J64)</f>
        <v>0</v>
      </c>
    </row>
    <row r="66" spans="2:10" ht="12.75" hidden="1" outlineLevel="1">
      <c r="B66" s="102"/>
      <c r="C66" s="102"/>
      <c r="D66" s="102"/>
      <c r="E66" s="102"/>
      <c r="F66" s="113"/>
      <c r="G66" s="113"/>
      <c r="H66" s="113"/>
      <c r="I66" s="102"/>
      <c r="J66" s="102"/>
    </row>
    <row r="67" spans="2:10" ht="13.5" hidden="1" outlineLevel="1">
      <c r="B67" s="105" t="s">
        <v>828</v>
      </c>
      <c r="C67" s="104"/>
      <c r="D67" s="104"/>
      <c r="E67" s="104"/>
      <c r="F67" s="104">
        <f>F65+F55+F51+F46+F39+F29+F21</f>
        <v>0</v>
      </c>
      <c r="G67" s="104"/>
      <c r="H67" s="104">
        <f>H65+H55+H51+H46+H39+H29+H21</f>
        <v>0</v>
      </c>
      <c r="I67" s="104"/>
      <c r="J67" s="104">
        <f>J65+J55+J51+J46+J39+J29+J21</f>
        <v>0</v>
      </c>
    </row>
    <row r="68" spans="2:12" ht="12.75" hidden="1" outlineLevel="1">
      <c r="B68" s="93" t="s">
        <v>827</v>
      </c>
      <c r="C68" s="93" t="s">
        <v>826</v>
      </c>
      <c r="D68" s="111">
        <v>5</v>
      </c>
      <c r="E68" s="111">
        <v>0.01</v>
      </c>
      <c r="F68" s="106">
        <f>F67*D68*E68</f>
        <v>0</v>
      </c>
      <c r="G68" s="106">
        <v>0</v>
      </c>
      <c r="H68" s="106">
        <f>D68*G68</f>
        <v>0</v>
      </c>
      <c r="I68" s="111"/>
      <c r="J68" s="106">
        <f>F68+H68</f>
        <v>0</v>
      </c>
      <c r="L68" s="103"/>
    </row>
    <row r="69" spans="2:10" ht="13.5" collapsed="1">
      <c r="B69" s="105" t="s">
        <v>825</v>
      </c>
      <c r="C69" s="104" t="s">
        <v>779</v>
      </c>
      <c r="D69" s="104"/>
      <c r="E69" s="104"/>
      <c r="F69" s="104">
        <f>SUM(F67:F68)</f>
        <v>0</v>
      </c>
      <c r="G69" s="104"/>
      <c r="H69" s="104">
        <f>SUM(H67:H68)</f>
        <v>0</v>
      </c>
      <c r="I69" s="104"/>
      <c r="J69" s="104">
        <f>SUM(J67:J68)</f>
        <v>0</v>
      </c>
    </row>
    <row r="70" spans="2:10" ht="12.75">
      <c r="B70" s="93"/>
      <c r="C70" s="93"/>
      <c r="D70" s="93"/>
      <c r="E70" s="93"/>
      <c r="F70" s="93"/>
      <c r="G70" s="93"/>
      <c r="H70" s="93"/>
      <c r="I70" s="93"/>
      <c r="J70" s="93"/>
    </row>
    <row r="71" spans="2:10" ht="12.75">
      <c r="B71" s="93"/>
      <c r="C71" s="93"/>
      <c r="D71" s="93"/>
      <c r="E71" s="93"/>
      <c r="F71" s="93"/>
      <c r="G71" s="93"/>
      <c r="H71" s="93"/>
      <c r="I71" s="93"/>
      <c r="J71" s="93"/>
    </row>
    <row r="72" spans="2:10" ht="12.75">
      <c r="B72" s="93"/>
      <c r="C72" s="93"/>
      <c r="D72" s="93"/>
      <c r="E72" s="93"/>
      <c r="F72" s="93"/>
      <c r="G72" s="93"/>
      <c r="H72" s="93"/>
      <c r="I72" s="93"/>
      <c r="J72" s="93"/>
    </row>
    <row r="73" spans="2:10" ht="13.5">
      <c r="B73" s="105" t="s">
        <v>802</v>
      </c>
      <c r="C73" s="104"/>
      <c r="D73" s="104"/>
      <c r="E73" s="104"/>
      <c r="F73" s="104"/>
      <c r="G73" s="104"/>
      <c r="H73" s="104"/>
      <c r="I73" s="104"/>
      <c r="J73" s="104"/>
    </row>
    <row r="74" spans="2:10" ht="12.75">
      <c r="B74" s="110" t="s">
        <v>824</v>
      </c>
      <c r="C74" s="110"/>
      <c r="D74" s="110"/>
      <c r="E74" s="110"/>
      <c r="F74" s="110"/>
      <c r="G74" s="110"/>
      <c r="H74" s="112"/>
      <c r="I74" s="110"/>
      <c r="J74" s="110"/>
    </row>
    <row r="75" spans="2:10" ht="12.75">
      <c r="B75" s="111" t="s">
        <v>823</v>
      </c>
      <c r="C75" s="111" t="s">
        <v>629</v>
      </c>
      <c r="D75" s="106">
        <v>1.8</v>
      </c>
      <c r="E75" s="106">
        <v>0</v>
      </c>
      <c r="F75" s="106">
        <v>0</v>
      </c>
      <c r="G75" s="106">
        <v>0</v>
      </c>
      <c r="H75" s="106">
        <f>D75*G75</f>
        <v>0</v>
      </c>
      <c r="I75" s="106">
        <f>E75+G75</f>
        <v>0</v>
      </c>
      <c r="J75" s="106">
        <f>D75*I75</f>
        <v>0</v>
      </c>
    </row>
    <row r="76" spans="2:10" ht="12.75">
      <c r="B76" s="110" t="s">
        <v>822</v>
      </c>
      <c r="C76" s="110" t="s">
        <v>779</v>
      </c>
      <c r="E76" s="107"/>
      <c r="F76" s="107"/>
      <c r="G76" s="107"/>
      <c r="H76" s="108"/>
      <c r="I76" s="107"/>
      <c r="J76" s="107"/>
    </row>
    <row r="77" spans="2:10" ht="12.75">
      <c r="B77" s="93" t="s">
        <v>821</v>
      </c>
      <c r="C77" s="93" t="s">
        <v>805</v>
      </c>
      <c r="D77" s="92">
        <v>4</v>
      </c>
      <c r="E77" s="92">
        <v>0</v>
      </c>
      <c r="F77" s="92">
        <v>0</v>
      </c>
      <c r="G77" s="92">
        <v>0</v>
      </c>
      <c r="H77" s="106">
        <f>D77*G77</f>
        <v>0</v>
      </c>
      <c r="I77" s="92">
        <f>E77+G77</f>
        <v>0</v>
      </c>
      <c r="J77" s="92">
        <f>D77*I77</f>
        <v>0</v>
      </c>
    </row>
    <row r="78" spans="2:10" ht="12.75">
      <c r="B78" s="110" t="s">
        <v>820</v>
      </c>
      <c r="C78" s="110" t="s">
        <v>779</v>
      </c>
      <c r="D78" s="92"/>
      <c r="E78" s="107"/>
      <c r="F78" s="107"/>
      <c r="G78" s="107"/>
      <c r="H78" s="108"/>
      <c r="I78" s="107"/>
      <c r="J78" s="107"/>
    </row>
    <row r="79" spans="2:10" ht="12.75">
      <c r="B79" s="93" t="s">
        <v>819</v>
      </c>
      <c r="C79" s="93" t="s">
        <v>628</v>
      </c>
      <c r="D79" s="92">
        <v>144</v>
      </c>
      <c r="E79" s="92">
        <v>0</v>
      </c>
      <c r="F79" s="92">
        <v>0</v>
      </c>
      <c r="G79" s="92">
        <v>0</v>
      </c>
      <c r="H79" s="106">
        <f>D79*G79</f>
        <v>0</v>
      </c>
      <c r="I79" s="92">
        <f>E79+G79</f>
        <v>0</v>
      </c>
      <c r="J79" s="92">
        <f>D79*I79</f>
        <v>0</v>
      </c>
    </row>
    <row r="80" spans="2:10" ht="12.75">
      <c r="B80" s="110" t="s">
        <v>818</v>
      </c>
      <c r="C80" s="110" t="s">
        <v>779</v>
      </c>
      <c r="D80" s="107"/>
      <c r="E80" s="107"/>
      <c r="F80" s="107"/>
      <c r="G80" s="107"/>
      <c r="H80" s="108"/>
      <c r="I80" s="107"/>
      <c r="J80" s="107"/>
    </row>
    <row r="81" spans="2:10" ht="12.75">
      <c r="B81" s="93" t="s">
        <v>817</v>
      </c>
      <c r="C81" s="93" t="s">
        <v>628</v>
      </c>
      <c r="D81" s="92">
        <v>144</v>
      </c>
      <c r="E81" s="92">
        <v>0</v>
      </c>
      <c r="F81" s="92">
        <f>D81*E81</f>
        <v>0</v>
      </c>
      <c r="G81" s="92">
        <v>0</v>
      </c>
      <c r="H81" s="106">
        <f>D81*G81</f>
        <v>0</v>
      </c>
      <c r="I81" s="92">
        <f>E81+G81</f>
        <v>0</v>
      </c>
      <c r="J81" s="92">
        <f>D81*I81</f>
        <v>0</v>
      </c>
    </row>
    <row r="82" spans="2:10" ht="12.75">
      <c r="B82" s="110" t="s">
        <v>816</v>
      </c>
      <c r="C82" s="110" t="s">
        <v>779</v>
      </c>
      <c r="D82" s="107"/>
      <c r="E82" s="107"/>
      <c r="F82" s="107"/>
      <c r="G82" s="107"/>
      <c r="H82" s="108"/>
      <c r="I82" s="107"/>
      <c r="J82" s="107"/>
    </row>
    <row r="83" spans="2:10" ht="12.75">
      <c r="B83" s="93" t="s">
        <v>815</v>
      </c>
      <c r="C83" s="93" t="s">
        <v>628</v>
      </c>
      <c r="D83" s="92">
        <v>154</v>
      </c>
      <c r="E83" s="92">
        <v>0</v>
      </c>
      <c r="F83" s="92">
        <f>D83*E83</f>
        <v>0</v>
      </c>
      <c r="G83" s="92">
        <v>0</v>
      </c>
      <c r="H83" s="106">
        <f>D83*G83</f>
        <v>0</v>
      </c>
      <c r="I83" s="92">
        <f>E83+G83</f>
        <v>0</v>
      </c>
      <c r="J83" s="92">
        <f>D83*I83</f>
        <v>0</v>
      </c>
    </row>
    <row r="84" spans="2:10" ht="12.75">
      <c r="B84" s="110" t="s">
        <v>814</v>
      </c>
      <c r="C84" s="110" t="s">
        <v>779</v>
      </c>
      <c r="D84" s="107"/>
      <c r="E84" s="107"/>
      <c r="F84" s="107"/>
      <c r="G84" s="107"/>
      <c r="H84" s="108"/>
      <c r="I84" s="107"/>
      <c r="J84" s="107"/>
    </row>
    <row r="85" spans="2:10" ht="12.75">
      <c r="B85" s="93" t="s">
        <v>813</v>
      </c>
      <c r="C85" s="93" t="s">
        <v>628</v>
      </c>
      <c r="D85" s="92">
        <v>144</v>
      </c>
      <c r="E85" s="92">
        <v>0</v>
      </c>
      <c r="F85" s="92">
        <v>0</v>
      </c>
      <c r="G85" s="92">
        <v>0</v>
      </c>
      <c r="H85" s="106">
        <f>D85*G85</f>
        <v>0</v>
      </c>
      <c r="I85" s="92">
        <f>E85+G85</f>
        <v>0</v>
      </c>
      <c r="J85" s="92">
        <f>D85*I85</f>
        <v>0</v>
      </c>
    </row>
    <row r="86" spans="2:10" ht="12.75">
      <c r="B86" s="110" t="s">
        <v>812</v>
      </c>
      <c r="C86" s="110" t="s">
        <v>779</v>
      </c>
      <c r="D86" s="107"/>
      <c r="E86" s="107"/>
      <c r="F86" s="107"/>
      <c r="G86" s="107"/>
      <c r="H86" s="108"/>
      <c r="I86" s="107"/>
      <c r="J86" s="107"/>
    </row>
    <row r="87" spans="2:10" ht="12.75">
      <c r="B87" s="93" t="s">
        <v>811</v>
      </c>
      <c r="C87" s="93" t="s">
        <v>629</v>
      </c>
      <c r="D87" s="92">
        <v>10.1</v>
      </c>
      <c r="E87" s="92">
        <v>0</v>
      </c>
      <c r="F87" s="92">
        <v>0</v>
      </c>
      <c r="G87" s="92">
        <v>0</v>
      </c>
      <c r="H87" s="106">
        <f>D87*G87</f>
        <v>0</v>
      </c>
      <c r="I87" s="92">
        <f>E87+G87</f>
        <v>0</v>
      </c>
      <c r="J87" s="92">
        <f>D87*I87</f>
        <v>0</v>
      </c>
    </row>
    <row r="88" spans="2:10" ht="12.75">
      <c r="B88" s="109" t="s">
        <v>810</v>
      </c>
      <c r="C88" s="107" t="s">
        <v>779</v>
      </c>
      <c r="D88" s="107"/>
      <c r="E88" s="107"/>
      <c r="F88" s="107"/>
      <c r="G88" s="107"/>
      <c r="H88" s="108"/>
      <c r="I88" s="107"/>
      <c r="J88" s="107"/>
    </row>
    <row r="89" spans="2:10" ht="12.75">
      <c r="B89" s="93" t="s">
        <v>809</v>
      </c>
      <c r="C89" s="93" t="s">
        <v>808</v>
      </c>
      <c r="D89" s="106">
        <v>0.144</v>
      </c>
      <c r="E89" s="106">
        <v>0</v>
      </c>
      <c r="F89" s="106">
        <v>0</v>
      </c>
      <c r="G89" s="106">
        <v>0</v>
      </c>
      <c r="H89" s="106">
        <f>D89*G89</f>
        <v>0</v>
      </c>
      <c r="I89" s="106">
        <f>E89+G89</f>
        <v>0</v>
      </c>
      <c r="J89" s="106">
        <f>D89*I89</f>
        <v>0</v>
      </c>
    </row>
    <row r="90" spans="2:10" ht="12.75">
      <c r="B90" s="93" t="s">
        <v>807</v>
      </c>
      <c r="C90" s="93" t="s">
        <v>805</v>
      </c>
      <c r="D90" s="92">
        <v>4</v>
      </c>
      <c r="E90" s="92">
        <v>0</v>
      </c>
      <c r="F90" s="92">
        <v>0</v>
      </c>
      <c r="G90" s="92">
        <v>0</v>
      </c>
      <c r="H90" s="106">
        <f>D90*G90</f>
        <v>0</v>
      </c>
      <c r="I90" s="92">
        <f>E90+G90</f>
        <v>0</v>
      </c>
      <c r="J90" s="92">
        <f>D90*I90</f>
        <v>0</v>
      </c>
    </row>
    <row r="91" spans="2:10" ht="12.75">
      <c r="B91" s="93" t="s">
        <v>806</v>
      </c>
      <c r="C91" s="93" t="s">
        <v>805</v>
      </c>
      <c r="D91" s="92">
        <v>4</v>
      </c>
      <c r="E91" s="92">
        <v>0</v>
      </c>
      <c r="F91" s="92">
        <v>0</v>
      </c>
      <c r="G91" s="92">
        <v>0</v>
      </c>
      <c r="H91" s="106">
        <f>D91*G91</f>
        <v>0</v>
      </c>
      <c r="I91" s="92">
        <f>E91+G91</f>
        <v>0</v>
      </c>
      <c r="J91" s="92">
        <f>D91*I91</f>
        <v>0</v>
      </c>
    </row>
    <row r="92" spans="2:10" ht="12.75">
      <c r="B92" s="109" t="s">
        <v>804</v>
      </c>
      <c r="C92" s="107"/>
      <c r="D92" s="107"/>
      <c r="E92" s="107"/>
      <c r="F92" s="107"/>
      <c r="G92" s="107"/>
      <c r="H92" s="108"/>
      <c r="I92" s="107"/>
      <c r="J92" s="107"/>
    </row>
    <row r="93" spans="2:11" ht="12.75">
      <c r="B93" s="93" t="s">
        <v>803</v>
      </c>
      <c r="C93" s="93" t="s">
        <v>627</v>
      </c>
      <c r="D93" s="92">
        <v>216</v>
      </c>
      <c r="E93" s="92">
        <v>0</v>
      </c>
      <c r="F93" s="92">
        <v>0</v>
      </c>
      <c r="G93" s="92">
        <v>0</v>
      </c>
      <c r="H93" s="106">
        <f>D93*G93</f>
        <v>0</v>
      </c>
      <c r="I93" s="92">
        <f>E93+G93</f>
        <v>0</v>
      </c>
      <c r="J93" s="92">
        <f>D93*I93</f>
        <v>0</v>
      </c>
      <c r="K93" s="103"/>
    </row>
    <row r="94" spans="2:12" ht="13.5">
      <c r="B94" s="105" t="s">
        <v>802</v>
      </c>
      <c r="C94" s="104" t="s">
        <v>779</v>
      </c>
      <c r="D94" s="104"/>
      <c r="E94" s="104"/>
      <c r="F94" s="104">
        <f>SUM(F74:F93)</f>
        <v>0</v>
      </c>
      <c r="G94" s="104"/>
      <c r="H94" s="104">
        <f>SUM(H74:H93)</f>
        <v>0</v>
      </c>
      <c r="I94" s="104"/>
      <c r="J94" s="104">
        <f>SUM(J74:J93)</f>
        <v>0</v>
      </c>
      <c r="K94" s="103"/>
      <c r="L94" s="103"/>
    </row>
    <row r="95" spans="2:12" ht="12.75">
      <c r="B95" s="102"/>
      <c r="C95" s="102"/>
      <c r="D95" s="101"/>
      <c r="E95" s="101"/>
      <c r="F95" s="101"/>
      <c r="G95" s="101"/>
      <c r="H95" s="101"/>
      <c r="I95" s="101"/>
      <c r="J95" s="101"/>
      <c r="L95" s="103"/>
    </row>
    <row r="96" spans="2:10" ht="12.75">
      <c r="B96" s="102"/>
      <c r="C96" s="102"/>
      <c r="D96" s="101"/>
      <c r="E96" s="101"/>
      <c r="F96" s="101"/>
      <c r="G96" s="101"/>
      <c r="H96" s="101"/>
      <c r="I96" s="101"/>
      <c r="J96" s="101"/>
    </row>
    <row r="97" spans="2:10" ht="12.75">
      <c r="B97" s="102"/>
      <c r="C97" s="102"/>
      <c r="D97" s="101"/>
      <c r="E97" s="101"/>
      <c r="F97" s="101"/>
      <c r="G97" s="101"/>
      <c r="H97" s="101"/>
      <c r="I97" s="101"/>
      <c r="J97" s="101"/>
    </row>
    <row r="98" spans="2:10" ht="12.75">
      <c r="B98" s="102"/>
      <c r="C98" s="102"/>
      <c r="D98" s="101"/>
      <c r="E98" s="101"/>
      <c r="F98" s="101"/>
      <c r="G98" s="101"/>
      <c r="H98" s="101"/>
      <c r="I98" s="101"/>
      <c r="J98" s="101"/>
    </row>
    <row r="99" spans="2:10" ht="12.75">
      <c r="B99" s="102"/>
      <c r="C99" s="102"/>
      <c r="D99" s="101"/>
      <c r="E99" s="101"/>
      <c r="F99" s="101"/>
      <c r="G99" s="101"/>
      <c r="H99" s="101"/>
      <c r="I99" s="101"/>
      <c r="J99" s="101"/>
    </row>
    <row r="100" spans="2:10" ht="12.75">
      <c r="B100" s="102"/>
      <c r="C100" s="102"/>
      <c r="D100" s="101"/>
      <c r="E100" s="101"/>
      <c r="F100" s="101"/>
      <c r="G100" s="101"/>
      <c r="H100" s="101"/>
      <c r="I100" s="101"/>
      <c r="J100" s="101"/>
    </row>
  </sheetData>
  <sheetProtection/>
  <printOptions/>
  <pageMargins left="0.787401575" right="0.787401575" top="0.984251969" bottom="0.984251969" header="0.4921259845" footer="0.4921259845"/>
  <pageSetup horizontalDpi="600" verticalDpi="600" orientation="landscape" paperSize="9" r:id="rId1"/>
  <headerFooter alignWithMargins="0">
    <oddHeader>&amp;LCelkem listů s položkami  3&amp;C&amp;P&amp;RD.1.4.1.1.2.
</oddHeader>
    <firstHeader>&amp;LCelkem listů 4&amp;Clist 2</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Obec Všestary - starosta</cp:lastModifiedBy>
  <dcterms:modified xsi:type="dcterms:W3CDTF">2018-10-22T11:33:30Z</dcterms:modified>
  <cp:category/>
  <cp:version/>
  <cp:contentType/>
  <cp:contentStatus/>
</cp:coreProperties>
</file>