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240" yWindow="450" windowWidth="15480" windowHeight="9855" activeTab="0"/>
  </bookViews>
  <sheets>
    <sheet name="Krycí list" sheetId="1" r:id="rId1"/>
    <sheet name="Rekapitulace" sheetId="2" r:id="rId2"/>
    <sheet name="Položky" sheetId="3" r:id="rId3"/>
  </sheets>
  <definedNames>
    <definedName name="_BPK1">'Položky'!#REF!</definedName>
    <definedName name="_BPK2">'Položky'!#REF!</definedName>
    <definedName name="_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'Rekapitulace'!$G$33</definedName>
    <definedName name="Dodavka0">'Položky'!#REF!</definedName>
    <definedName name="HSV">'Rekapitulace'!$E$33</definedName>
    <definedName name="HSV0">'Položky'!#REF!</definedName>
    <definedName name="HZS">'Rekapitulace'!$I$33</definedName>
    <definedName name="HZS0">'Položky'!#REF!</definedName>
    <definedName name="JKSO">'Krycí list'!$F$4</definedName>
    <definedName name="MJ">'Krycí list'!$G$4</definedName>
    <definedName name="Mont">'Rekapitulace'!$H$33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list'!$A$1:$G$39</definedName>
    <definedName name="_xlnm.Print_Area" localSheetId="2">'Položky'!$A$1:$G$545</definedName>
    <definedName name="_xlnm.Print_Area" localSheetId="1">'Rekapitulace'!$A$1:$I$47</definedName>
    <definedName name="PocetMJ">'Krycí list'!$G$7</definedName>
    <definedName name="Poznamka">#REF!</definedName>
    <definedName name="Projektant">'Krycí list'!$C$7</definedName>
    <definedName name="PSV">'Rekapitulace'!$F$33</definedName>
    <definedName name="PSV0">'Položky'!#REF!</definedName>
    <definedName name="SazbaDPH1">'Krycí list'!$C$29</definedName>
    <definedName name="SazbaDPH2">'Krycí list'!$C$31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<sst xmlns="http://schemas.openxmlformats.org/spreadsheetml/2006/main" count="1160" uniqueCount="822">
  <si>
    <t>Objekt :</t>
  </si>
  <si>
    <t>Název objektu :</t>
  </si>
  <si>
    <t>JKSO :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</si>
  <si>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</si>
  <si>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</si>
  <si>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</si>
  <si>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</si>
  <si>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</si>
  <si>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</si>
  <si>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</si>
  <si>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</si>
  <si>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</si>
  <si>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</si>
  <si>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</si>
  <si>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</si>
  <si>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</si>
  <si>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</si>
  <si>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</si>
  <si>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</si>
  <si>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</si>
  <si>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</si>
  <si>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</si>
  <si>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</si>
  <si>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</si>
  <si>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</si>
  <si>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</si>
  <si>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</si>
  <si>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</si>
  <si>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</si>
  <si>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</si>
  <si>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</si>
  <si>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</si>
  <si>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</si>
  <si>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</si>
  <si>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</si>
  <si>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</si>
  <si>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</si>
  <si>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</si>
  <si>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</si>
  <si>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</si>
  <si>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</si>
  <si>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</si>
  <si>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</si>
  <si>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</si>
  <si>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</si>
  <si>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</si>
  <si>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</si>
  <si>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</si>
  <si>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</si>
  <si>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</si>
  <si>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</si>
  <si>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</si>
  <si>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</si>
  <si>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</si>
  <si>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</si>
  <si>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</si>
  <si>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</si>
  <si>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</si>
  <si>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</si>
  <si>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</si>
  <si>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</si>
  <si>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</si>
  <si>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</si>
  <si>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m2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</si>
  <si>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</si>
  <si>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</si>
  <si>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</si>
  <si>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</si>
  <si>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</si>
  <si>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</si>
  <si>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</si>
  <si>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</si>
  <si>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Zpracovatel projektu : </t>
  </si>
  <si>
    <t xml:space="preserve">Zhotovitel : </t>
  </si>
  <si>
    <t>0096</t>
  </si>
  <si>
    <t>Bourání a podchycování konstrukcí</t>
  </si>
  <si>
    <t>0094</t>
  </si>
  <si>
    <t>Ostatní konstrukce a práce</t>
  </si>
  <si>
    <t>009</t>
  </si>
  <si>
    <t xml:space="preserve">Poznámka : </t>
  </si>
  <si>
    <t>m</t>
  </si>
  <si>
    <t>003</t>
  </si>
  <si>
    <t>Svislé a kompletní konstrukce</t>
  </si>
  <si>
    <t>kus</t>
  </si>
  <si>
    <t>Konstrukce zámečnické</t>
  </si>
  <si>
    <t>Konstrukce truhlářské</t>
  </si>
  <si>
    <t>Klempířské práce</t>
  </si>
  <si>
    <t>Izolace tepelné</t>
  </si>
  <si>
    <t>0062</t>
  </si>
  <si>
    <t>Úpravy povrchů - vnější</t>
  </si>
  <si>
    <t>M-21</t>
  </si>
  <si>
    <t>Elektromontáže</t>
  </si>
  <si>
    <t>Ústřední vytápění</t>
  </si>
  <si>
    <t>t</t>
  </si>
  <si>
    <t>kpl</t>
  </si>
  <si>
    <t>Městská poliklinika Týn nad Vltavou,Sakařova 755</t>
  </si>
  <si>
    <t>Dlažby keramické</t>
  </si>
  <si>
    <t>Malby</t>
  </si>
  <si>
    <t>5</t>
  </si>
  <si>
    <t>6</t>
  </si>
  <si>
    <t>900000000</t>
  </si>
  <si>
    <t>900000001</t>
  </si>
  <si>
    <t>Úpravy povrchů - vnitřní</t>
  </si>
  <si>
    <t>0061</t>
  </si>
  <si>
    <t>968062245R00</t>
  </si>
  <si>
    <t>Vybourání dřevěných rámů oken jednoduch. pl. 2 m2</t>
  </si>
  <si>
    <t>968061112R00</t>
  </si>
  <si>
    <t>Vyvěšení dřevěných okenních křídel pl. do 1,5 m2</t>
  </si>
  <si>
    <t>900000002</t>
  </si>
  <si>
    <t>Otvorové prvky z plastů</t>
  </si>
  <si>
    <t>769000000R00</t>
  </si>
  <si>
    <t>Montáž plastových oken</t>
  </si>
  <si>
    <t>0064</t>
  </si>
  <si>
    <t>Osazování výplní otvorů</t>
  </si>
  <si>
    <t>648991111R00</t>
  </si>
  <si>
    <t>648991113R00</t>
  </si>
  <si>
    <t>900000003</t>
  </si>
  <si>
    <t>968062246R00</t>
  </si>
  <si>
    <t>Vybourání dřevěných rámů oken jednoduch. pl. 4 m2</t>
  </si>
  <si>
    <t>978059631R00</t>
  </si>
  <si>
    <t>Odsekání vnějších obkladů stěn nad 2 m2</t>
  </si>
  <si>
    <t>Obklady keramické</t>
  </si>
  <si>
    <t>900000004</t>
  </si>
  <si>
    <t>0063</t>
  </si>
  <si>
    <t>Podlahy a podlahové konstrukce</t>
  </si>
  <si>
    <t>kg</t>
  </si>
  <si>
    <t>979011111R00</t>
  </si>
  <si>
    <t xml:space="preserve">Svislá doprava suti a vybour. hmot za 2.NP a 1.PP </t>
  </si>
  <si>
    <t>979011121R00</t>
  </si>
  <si>
    <t>Příplatek za každé další podlaží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</si>
  <si>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</si>
  <si>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</si>
  <si>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</si>
  <si>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</si>
  <si>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</si>
  <si>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</si>
  <si>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</si>
  <si>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</si>
  <si>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944944011R00</t>
  </si>
  <si>
    <t>Montáž ochranné sítě z umělých vláken</t>
  </si>
  <si>
    <t>944944031R00</t>
  </si>
  <si>
    <t>Příplatek za každý měsíc použití sítí k pol.4011</t>
  </si>
  <si>
    <t>944944081R00</t>
  </si>
  <si>
    <t>Demontáž ochranné sítě z umělých vláken</t>
  </si>
  <si>
    <t>900000005</t>
  </si>
  <si>
    <t>Povlakové krytiny</t>
  </si>
  <si>
    <t>900000006</t>
  </si>
  <si>
    <t>900000007</t>
  </si>
  <si>
    <t>Příplatek za nestandardní barvu panelů</t>
  </si>
  <si>
    <t>900000008</t>
  </si>
  <si>
    <t>900000009</t>
  </si>
  <si>
    <t>900000011</t>
  </si>
  <si>
    <t>900000012</t>
  </si>
  <si>
    <t>900000013</t>
  </si>
  <si>
    <t>900000014</t>
  </si>
  <si>
    <t>900000015</t>
  </si>
  <si>
    <t>900000016</t>
  </si>
  <si>
    <t>900000017</t>
  </si>
  <si>
    <t>Vyčištění a úklid stavbou dotčených ploch a konstrukcí do původního stavu, včetně zajištění každodenního úklidu v průběhu výstavby</t>
  </si>
  <si>
    <t>Přesun hmot HSV</t>
  </si>
  <si>
    <t>0099</t>
  </si>
  <si>
    <t>999281211R00</t>
  </si>
  <si>
    <t>Přesun hmot, opravy vněj. plášťů výšky do 25 m</t>
  </si>
  <si>
    <t>(bez agregovaných položek)</t>
  </si>
  <si>
    <t>Lešení s stavební výtahy</t>
  </si>
  <si>
    <t>Zateplení - II.etapa</t>
  </si>
  <si>
    <t>Dočasné příčky v 1.-3.NP - rámové dřevěné s obedněním z OSB desek a s utěsněním spojek ke stěnám. Ze strany staveniště dostatečně silná fólie pro zajištění vzduchotěsnosti a hermetičnost uzavření</t>
  </si>
  <si>
    <t>Dočasné příčky v 1.PP - dostatečně silná fólie v dřevěném rámu pro zajištění vzduchotěsnosti a hermetičnosti uzavření</t>
  </si>
  <si>
    <t>Dveře do provizorní příčky</t>
  </si>
  <si>
    <t>západ : (8,225+3,45*4+2,25+3,25)*3,25</t>
  </si>
  <si>
    <t>sever : (8,225*2+5,9+2+3,3)*3,25</t>
  </si>
  <si>
    <t>východ : (2,22+2,375+3,325+2,35+3,45)*3,25</t>
  </si>
  <si>
    <t>766111820R00</t>
  </si>
  <si>
    <t>Demontáž dřevěných stěn plných</t>
  </si>
  <si>
    <t>západ : (4,975+4,55+2,35+2,2+4,65+3,425*4+2,5++2,375*2+4,5+3,45*2+3,475+2,25+4,625+3,25*2+3,35*2+4,775)*3</t>
  </si>
  <si>
    <t>sever : (3,425*2+2,375*3+7,55+2,15+2,25+3,493+3,451+3,25*2+7,95+3,35+3,3*2+3,325+3,55+2,2+2,225+3,575*2+2,125*2+4,525)*3</t>
  </si>
  <si>
    <t>východ : (4,65+2,2+2,277+3,324+2,375*5+3,325*3+2,4+4,88+3,25+3,425*2+3,35*4+3,575*2+2,225*2+3,3*2)*3</t>
  </si>
  <si>
    <t>Přípravné práce - m.č.332 a 333, demontáž dřezu a skříně, ochrana rozvodů a filtru na stěně, přesun kompresoru - viz ZOV</t>
  </si>
  <si>
    <t>Přípravné práce - m.č.336, ochrana dřevěného obkladu stěny - viz ZOV</t>
  </si>
  <si>
    <t>Přípravné práce - m.č.307, 309, 310, zatěsnění a obalení zásuvek - viz ZOV</t>
  </si>
  <si>
    <t>Přípravné práce - m.č.312, obalení a utěsnění vývodu VZT na fasádu - viz ZOV</t>
  </si>
  <si>
    <t>Přípravné práce - m.č.316, obalení a utěsnění stlač. vzduchu - viz ZOV</t>
  </si>
  <si>
    <t>900000010</t>
  </si>
  <si>
    <t>Přípravné práce - m.č.317, přesun digestoře včetně provizorního přepojení, případná oprava - viz ZOV</t>
  </si>
  <si>
    <t>Přípravné práce - vyklizení prostor dotčených výměnou pláště</t>
  </si>
  <si>
    <t>960000000</t>
  </si>
  <si>
    <t>západ : (25,4+2,4)*13,2</t>
  </si>
  <si>
    <t>-((2,4*1,85*4)+(5,4*1,5*3)+(6,6*1,5)+(5,4*1,85*9)+(6,6*1,85*3))</t>
  </si>
  <si>
    <t>968061113R00</t>
  </si>
  <si>
    <t>Vyvěšení dřevěných okenních křídel pl. nad 1,5 m2</t>
  </si>
  <si>
    <t>západ : 146,0</t>
  </si>
  <si>
    <t>západ, včetně parapetů : 0,9*1,5*8+1,2*1,5*13+0,9*1,85*24</t>
  </si>
  <si>
    <t>960000001</t>
  </si>
  <si>
    <t>západ : (0,65+1,25+5)*13,2</t>
  </si>
  <si>
    <t>8,15*12,525+0,55*11,85</t>
  </si>
  <si>
    <t>968071113R00</t>
  </si>
  <si>
    <t>Vyvěšení, zavěšení kovových křídel oken nad 1,5 m2</t>
  </si>
  <si>
    <t>západ : 15,0</t>
  </si>
  <si>
    <t>sever : 1,0</t>
  </si>
  <si>
    <t>968072246R00</t>
  </si>
  <si>
    <t>Vybourání kovových rámů oken jednod. pl. 4 m2</t>
  </si>
  <si>
    <t>sever, včetně parapetů : 1,5*1,5</t>
  </si>
  <si>
    <t>968071126R00</t>
  </si>
  <si>
    <t>Vyvěšení, zavěšení kovových křídel dveří nad 2 m2</t>
  </si>
  <si>
    <t>sever : 2,0</t>
  </si>
  <si>
    <t>968072456R00</t>
  </si>
  <si>
    <t>Vybourání kovových dveřních zárubní pl. nad 2 m2</t>
  </si>
  <si>
    <t>sever : 2,4*2,1</t>
  </si>
  <si>
    <t>sever : 11,0</t>
  </si>
  <si>
    <t>sever : 145,0</t>
  </si>
  <si>
    <t>sever, včetně parapetů : 0,9*1,5*7+1,2*1,5*11+0,9*1,85*24</t>
  </si>
  <si>
    <t>západ, včetně parapetů : 1,2*1,85*47</t>
  </si>
  <si>
    <t>sever, včetně parapetů : 1,2*1,85*45</t>
  </si>
  <si>
    <t>sever : (25,4+2,4)*13,2</t>
  </si>
  <si>
    <t>-((2,4*1,85*3)+(5,4*1,5)+(6,6*1,5)+(2,4*2,1)+(2,1*1,5*2)+(3,3*1,5)+(2,5*2,3)+(1,2*2,4)+(5,4*1,85*9)+(6,6*1,85*3))</t>
  </si>
  <si>
    <t>sever : (0,65+1,25)*13,2</t>
  </si>
  <si>
    <t>3,2*2,2+3,85*11,25+7,55*11,25</t>
  </si>
  <si>
    <t>východ : 22,9*2,3</t>
  </si>
  <si>
    <t>-((3,4*2,3)+(5,4*1,5*2)+(6,6*1,5))</t>
  </si>
  <si>
    <t>25,4*10,8+2,4*11,65</t>
  </si>
  <si>
    <t>-((2,4*2,7)+(3,35*1,85)+(5,4*1,85*8)+(6,6*1,85*3)+(2,4*1,85*3))</t>
  </si>
  <si>
    <t>východ : (2,1*3,6)+((0,65+1,1)*8,05)</t>
  </si>
  <si>
    <t>(5+7+0,55)*11,65</t>
  </si>
  <si>
    <t>-0,8*1,97</t>
  </si>
  <si>
    <t>4,74*0,55</t>
  </si>
  <si>
    <t>východ : 10,0</t>
  </si>
  <si>
    <t>východ : 134,0</t>
  </si>
  <si>
    <t>východ, včetně parapetů : 0,9*1,5*6+1,2*1,5*10+0,9*1,85*23</t>
  </si>
  <si>
    <t>východ, včetně parapetů : 1,2*1,85*44</t>
  </si>
  <si>
    <t>968071125R00</t>
  </si>
  <si>
    <t>Vyvěšení, zavěšení kovových křídel dveří pl. 2 m2</t>
  </si>
  <si>
    <t>východ : 3,0</t>
  </si>
  <si>
    <t>východ : 1,6*1,97</t>
  </si>
  <si>
    <t>968072455R00</t>
  </si>
  <si>
    <t>Vybourání kovových dveřních zárubní pl. do 2 m2</t>
  </si>
  <si>
    <t>východ : 0,8*1,97</t>
  </si>
  <si>
    <t>620000001</t>
  </si>
  <si>
    <t>620000002</t>
  </si>
  <si>
    <t>Repase střešního anténního systému na západní straně, provedení vč. zatrubkování a nátěru podle popisu ve VZP - v.č.03, ozn. Z 02</t>
  </si>
  <si>
    <t>Repase střešního anténního systému na strojovně, provedení vč. zatrubkování a nátěru podle popisu ve VZP - v.č. 03, ozn. Z 03</t>
  </si>
  <si>
    <t>Dod.a montáž žebříku na střechu 4.NP, dl. 3,5 m, kotveno do keram. panelu přes KZS, žárově zinkováno, provedení podle popisu ve VZP - v.č.03, ozn. Z 05</t>
  </si>
  <si>
    <t>Dod.a montáž žebříku na střechu strojovny, dl. 4,0 m, kotveno do keram. panelu přes KZS, žárově zinkováno, provedení podle popisu ve VZP - v.č.03, ozn. Z 06</t>
  </si>
  <si>
    <t>Dod.a montáž ocelové mříže 90 x 150 cm, žárově zinkováno, provedení podle popisu ve VZP - v.č.03, ozn. Z 07</t>
  </si>
  <si>
    <t>Dod.a montáž ocelové mříže 120 x 150 cm, žárově zinkováno, provedení podle popisu ve VZP - v.č.03, ozn. Z 08</t>
  </si>
  <si>
    <t>Dod.a montáž ocelové mříže 100 x 120 cm, žárově zinkováno, provedení podle popisu ve VZP - v.č.03, ozn. Z 09</t>
  </si>
  <si>
    <t>Repase ocelového madla na jižní opěrné zdi, provedení podle popisu ve VZP - v.č.03, ozn. Z 10</t>
  </si>
  <si>
    <t>Repase ocelové mřížky 30 x 30 cm, provedení podle popisu ve VZP - v.č.03, ozn. Z 11</t>
  </si>
  <si>
    <t>Repase ocelové mřížky 30 x 30 cm, provedení podle popisu ve VZP - v.č.03, ozn. Z 13</t>
  </si>
  <si>
    <t>Dod.a montáž markýzy 180 x 100 cm, nerezové nosné prvky, zasklení čirým bezp. sklem, kotveno do keram. panelu, provedení podle popisu ve VZP - v.č.03, ozn. Z 14</t>
  </si>
  <si>
    <t>Repase střešního anténního systému na východní straně, provedení vč. zatrubkování a nátěru podle popisu ve VZP - v.č.03, ozn. Z 04</t>
  </si>
  <si>
    <t>Dod.a montáž ocelového schodiště vč. zábradlí, žárově zinkováno, provedení podle popisu ve VZP - v.č.03, ozn. Z 15</t>
  </si>
  <si>
    <t>Repase krytů na vrty, provedení podle popisu ve VZP - v.č.03, ozn. Z 16</t>
  </si>
  <si>
    <t>Dod.a montáž kotvení střešního světlíku, vč. nátěru, provedení podle popisu ve VZP - v.č.03, ozn. Z 17</t>
  </si>
  <si>
    <t>Repase ponechaných částí světlíku a podsvětlíku vč. nátěru, provedení podle popisu ve VZP - v.č.03, ozn. Z 18</t>
  </si>
  <si>
    <t>Dod.a montáž ukončení KZS u dveří L 100/100/5 dl. 1,0m, provedení podle popisu ve VZP - v.č.03, ozn. Z 19</t>
  </si>
  <si>
    <t>západ, ozn. Z 20 : 6052,5</t>
  </si>
  <si>
    <t>sever, ozn. Z 21 : 5859,7</t>
  </si>
  <si>
    <t>východ, ozn. Z 22 : 5667,4</t>
  </si>
  <si>
    <t>Vypracování projektové dokumentace skutečného provedení stavby</t>
  </si>
  <si>
    <t>C 01 : 5</t>
  </si>
  <si>
    <t>C 02 : 10</t>
  </si>
  <si>
    <t>C 03 : 5</t>
  </si>
  <si>
    <t>C 04 : 4</t>
  </si>
  <si>
    <t>Plastové okno s rámem 90 / 150 cm, bílé, zaskl. izol.bezp.a reliéf.2sklem, horizontální žaluzie, provedení podle popisu ve VO - v.č.04, ozn. C 01</t>
  </si>
  <si>
    <t>Plastové okno s rámem 2x 120 / 150 cm, bílé, zaskl. izol.bezp.a reliéf.2sklem, horizontální žaluzie, provedení podle popisu ve VO - v.č.04, ozn. C 02</t>
  </si>
  <si>
    <t>Plastové okno s rámem 90 + 120 / 150 cm, bílé, zaskl. izol.bezp.a reliéf.2sklem, horizontální žaluzie, provedení podle popisu ve VO - v.č.04, ozn. C 03</t>
  </si>
  <si>
    <t>Plastové okno s rámem 120 + 90 / 150 cm, bílé, zaskl. izol.bezp.a reliéf.2sklem, horizontální žaluzie, provedení podle popisu ve VO - v.č.04, ozn. C 04</t>
  </si>
  <si>
    <t>C 05 : 2</t>
  </si>
  <si>
    <t>Plastové okno s rámem 100 / 120 cm, bílé, zaskl. izol.bezp.a reliéf.2sklem, provedení podle popisu ve VO - v.č.04, ozn. C 05</t>
  </si>
  <si>
    <t>C 06 : 20</t>
  </si>
  <si>
    <t>Plastové okno s rámem 90 / 185 cm, bílé, zaskl. čirým izol. 2sklem, horizontální žaluzie, provedení podle popisu ve VO - v.č.04, ozn. C 06</t>
  </si>
  <si>
    <t>C 07 : 41</t>
  </si>
  <si>
    <t>Plastové okno s rámem 2x 120 / 185 cm, bílé, zaskl. čirým izol. 2sklem, horizontální žaluzie, provedení podle popisu ve VO - v.č.04, ozn. C 07</t>
  </si>
  <si>
    <t>C 08 : 14</t>
  </si>
  <si>
    <t>Plastové okno s rámem 120 + 90 / 185 cm, bílé, zaskl. čirým izol. 2sklem, horizontální žaluzie, provedení podle popisu ve VO - v.č.04, ozn. C 08</t>
  </si>
  <si>
    <t>C 09 : 22</t>
  </si>
  <si>
    <t>Plastové okno s rámem 92,5 / 185 cm, bílé, zaskl. čirým izol. 2sklem, horizontální žaluzie, provedení podle popisu ve VO - v.č.04, ozn. C 09</t>
  </si>
  <si>
    <t>C 10 : 10</t>
  </si>
  <si>
    <t>Plastové okno s rámem 90 + 120 / 185 cm, bílé, zaskl. čirým izol. 2sklem, horizontální žaluzie, provedení podle popisu ve VO - v.č.04, ozn. C 10</t>
  </si>
  <si>
    <t>61143009.0</t>
  </si>
  <si>
    <t>Plastové okno s rámem 90 + 120 / 185 cm, bílé, zaskl. čirým izol. 2sklem, zatemňovací roleta, provedení podle popisu ve VO - v.č.04, ozn. C 10</t>
  </si>
  <si>
    <t>C 11 : 1</t>
  </si>
  <si>
    <t>Plastové okno s rámem 92,5 / 185 cm, bílé, zaskl. čirým izol. 2sklem, horizontální žaluzie, provedení podle popisu ve VO - v.č.04, ozn. C 11</t>
  </si>
  <si>
    <t>C 12 : 9</t>
  </si>
  <si>
    <t>Plastové okno s rámem 240 / 185 cm, bílé, zaskl. čirým izol. 2sklem, horizontální žaluzie, provedení podle popisu ve VO - v.č.04, ozn. C 12</t>
  </si>
  <si>
    <t>C 13 : 6</t>
  </si>
  <si>
    <t>Plastové okno s rámem 90 + 120 / 185 cm, bílé, zaskl. čirým izol. 2sklem, horizontální žaluzie, provedení podle popisu ve VO - v.č.04, ozn. C 13</t>
  </si>
  <si>
    <t>C 14 : 3</t>
  </si>
  <si>
    <t>Plastové okno s rámem 90 / 150 cm, bílé, zaskl. izol.bezp.a reliéf.2sklem, horizontální žaluzie, provedení podle popisu ve VO - v.č.04, ozn. C 14</t>
  </si>
  <si>
    <t>C 15 : 4</t>
  </si>
  <si>
    <t>Plastové okno s rámem 120 + 90 / 150 cm, bílé, zaskl. izol.bezp.a reliéf.2sklem, horizontální žaluzie, provedení podle popisu ve VO - v.č.04, ozn. C 15</t>
  </si>
  <si>
    <t>C 16 : 3</t>
  </si>
  <si>
    <t>Plastové okno s rámem 100 / 120 cm, bílé, zaskl. izol.bezp.a reliéf.2sklem, horizontální žaluzie, provedení podle popisu ve VO - v.č.04, ozn. C 16</t>
  </si>
  <si>
    <t>C 18 : 1</t>
  </si>
  <si>
    <t>Plastové okno s rámem 90 + 120 / 185 cm, bílé, zaskl. čirým izol. 2sklem, zatemňovací roleta, provedení podle popisu ve VO - v.č.04, ozn. C 18</t>
  </si>
  <si>
    <t>C 19 : 1</t>
  </si>
  <si>
    <t>Plastový výlez 100 / 150 cm, bílý, plný, provedení podle popisu ve VO - v.č.04, ozn. C 19</t>
  </si>
  <si>
    <t>C 20 : 1</t>
  </si>
  <si>
    <t>Plastové okno s rámem 460 / 150 cm, bílé, zaskl. čirým izol.2sklem, provedení podle popisu ve VO - v.č.04, ozn. C 20</t>
  </si>
  <si>
    <t>C 21 : 3</t>
  </si>
  <si>
    <t>Plastové okno s rámem 60 / 60 cm, bílé, zaskl. reliéf. izol.2sklem, provedení podle popisu ve VO - v.č.04, ozn. C 21</t>
  </si>
  <si>
    <t>C 22 : 12</t>
  </si>
  <si>
    <t>Plastové okno s rámem 150 / 150 cm, bílé, zaskl. čirým izol.2sklem, horizontální žaluzie, provedení podle popisu ve VO - v.č.04, ozn. C 22</t>
  </si>
  <si>
    <t>C 23 : 1</t>
  </si>
  <si>
    <t>Plastové okno s rámem 270 / 150 cm, bílé, zaskl. čirým izol.2sklem, horizontální žaluzie, provedení podle popisu ve VO - v.č.04, ozn. C 23</t>
  </si>
  <si>
    <t>Plastové okno s rámem 120 / 185 cm, bílé, zaskl. čirým izol.2sklem, horizontální žaluzie, provedení podle popisu ve VO - v.č.04, ozn. C 25</t>
  </si>
  <si>
    <t>C 25 : 1</t>
  </si>
  <si>
    <t xml:space="preserve">Dod.a montáž hliníkového okna s rámem 150 x 150 cm - větrání CHÚC, zaskl.izol.bezp.a reliéf.2sklem, provedení podle popisu ve VO - v.č.04, ozn. C 17,  včetně kování pro otevírání dle přílohy č.1 </t>
  </si>
  <si>
    <t xml:space="preserve">Dod.a montáž hliníkového okna s rámem 150 + 120 / 150 cm - větrání CHÚC, zaskl.izol.bezp.čirým 2sklem, provedení podle popisu ve VO - v.č.04, ozn. C 24,  včetně kování pro otevírání dle přílohy č.1 </t>
  </si>
  <si>
    <t>Dod.a montáž hliníkových 2kř. dveří s rámem 240 x 210 cm, prosklených bezp. izol.2sklem, stavěč, bezp. panikové kování, provedení podle popisu ve VD - v.č.08, ozn. D 01</t>
  </si>
  <si>
    <t>Dod.a montáž hliníkových 2kř. dveří s rámem 180 x 210 cm, plných s PU výplní, stavěč, samozavírač, nerez okop. plechy, bezp. panikové kování, provedení podle popisu ve VD - v.č.08, ozn. D 02</t>
  </si>
  <si>
    <t>769000001R00</t>
  </si>
  <si>
    <t>Montáž plastových dveří</t>
  </si>
  <si>
    <t>D 3L : 1</t>
  </si>
  <si>
    <t>D 4L : 1</t>
  </si>
  <si>
    <t>Dveře plastové se zárubní 80 / 200 cm, bílé, plné s PU výplní, bezp. kování, stavěč, provedení podle popisu ve VD - v.č.08, ozn. D 3L</t>
  </si>
  <si>
    <t>Dveře plastové se zárubní 80 / 200 cm, bílé, plné s PU výplní, bezp. panik. kování, samozavírač, práh, provedení podle popisu ve VD - v.č.08, ozn. D 4L</t>
  </si>
  <si>
    <t>Osazení parapetních desek z plast. hmot š. nad 20cm</t>
  </si>
  <si>
    <t>60780000</t>
  </si>
  <si>
    <t>Parapet vnitřní postforming, dl. 3425 mm, š. 400+70 mm, bílý, včetně krytek, vč. mřížky nad radiátory z elox. hliníku 2x 1500/200 mm, provedení podle popisu ve VTV - v.č.07, ozn. T 01</t>
  </si>
  <si>
    <t>T 02 : 2,375*24</t>
  </si>
  <si>
    <t>607800001</t>
  </si>
  <si>
    <t>Parapet vnitřní postforming, dl. 2375 mm, š. 400+70 mm, bílý, včetně krytek, vč. mřížky nad radiátory z elox. hliníku 1x 1500/200 mm, provedení podle popisu ve VTV - v.č.07, ozn. T 02</t>
  </si>
  <si>
    <t>Osazení parapetních desek z plast. hmot š. do 20cm</t>
  </si>
  <si>
    <t>T 01 : 3,425*22</t>
  </si>
  <si>
    <t>T 03 : 3,3*3</t>
  </si>
  <si>
    <t>60780002</t>
  </si>
  <si>
    <t>Parapet vnitřní postforming, dl. 3300 mm, š. 70 mm, bílý, včetně krytek, provedení podle popisu ve VTV - v.č.07, ozn. T 03</t>
  </si>
  <si>
    <t>T 04 : 2,15*3</t>
  </si>
  <si>
    <t>60780003</t>
  </si>
  <si>
    <t>Parapet vnitřní postforming, dl. 2150 mm, š. 70 mm, bílý, včetně krytek, provedení podle popisu ve VTV - v.č.07, ozn. T 04</t>
  </si>
  <si>
    <t>T 05 : 2,27*2</t>
  </si>
  <si>
    <t>60780004</t>
  </si>
  <si>
    <t>Parapet vnitřní postforming, dl. 2270 mm, š. 70 mm, bílý, včetně krytek, provedení podle popisu ve VTV - v.č.07, ozn. T 05</t>
  </si>
  <si>
    <t>T 06 : 0,9*1</t>
  </si>
  <si>
    <t>60780005</t>
  </si>
  <si>
    <t>Parapet vnitřní postforming, dl. 900 mm, š. 70 mm, bílý, včetně krytek, provedení podle popisu ve VTV - v.č.07, ozn. T 06</t>
  </si>
  <si>
    <t>T 07 : 2,4*5</t>
  </si>
  <si>
    <t>60780006</t>
  </si>
  <si>
    <t>Parapet vnitřní postforming, dl. 2400 mm, š. 70 mm, bílý, včetně krytek, provedení podle popisu ve VTV - v.č.07, ozn. T 07</t>
  </si>
  <si>
    <t>T 08 : 5,7*4</t>
  </si>
  <si>
    <t>60780007</t>
  </si>
  <si>
    <t>Parapet vnitřní postforming, dl. 5700 mm, š. 400+70 mm, bílý, včetně krytek, vč. mřížky nad radiátory z elox. hliníku 3x 1500/200 mm, provedení podle popisu ve VTV - v.č.07, ozn. T 08</t>
  </si>
  <si>
    <t>T 09 : 3,35*7</t>
  </si>
  <si>
    <t>Parapet vnitřní postforming, dl. 3350 mm, š. 400+70 mm, bílý, včetně krytek, vč. mřížky nad radiátory z elox. hliníku 1x 1500/200 mm, provedení podle popisu ve VTV - v.č.07, ozn. T 09</t>
  </si>
  <si>
    <t>T 10 : 1,2*2</t>
  </si>
  <si>
    <t>Parapet vnitřní postforming, dl. 1200 mm, š. 400+70 mm, bílý, včetně krytek, provedení podle popisu ve VTV - v.č.07, ozn. T 10</t>
  </si>
  <si>
    <t>T 11 : 4,525*2</t>
  </si>
  <si>
    <t>Parapet vnitřní postforming, dl. 4525 mm, š. 400+70 mm, bílý, včetně krytek, vč. mřížky nad radiátory z elox. hliníku 3x 1500/200 mm, provedení podle popisu ve VTV - v.č.07, ozn. T 11</t>
  </si>
  <si>
    <t>T 12 : 1,5*1</t>
  </si>
  <si>
    <t>Parapet vnitřní postforming, dl. 1500 mm, š. 300 mm, bílý, včetně krytek, provedení podle popisu ve VTV - v.č.07, ozn. T 12</t>
  </si>
  <si>
    <t>T 13 : 4,56*1</t>
  </si>
  <si>
    <t>Parapet vnitřní postforming, dl. 4560 mm, š. 1000 mm, tl. min.30 mm, bílý, včetně krytek, vč. ocelového rámu s min. únosností 150 kg/m2, provedení podle popisu ve VTV - v.č.07, ozn. T 13</t>
  </si>
  <si>
    <t>T 14 : 1,5*12</t>
  </si>
  <si>
    <t>Parapet vnitřní postforming, dl. 1500 mm, š. 300 mm, bílý, včetně krytek, provedení podle popisu ve VTV - v.č.07, ozn. T 14</t>
  </si>
  <si>
    <t>T 15 : 0,6*3</t>
  </si>
  <si>
    <t>Parapet vnitřní postforming, dl. 600 mm, š. 300 mm, bílý, včetně krytek, provedení podle popisu ve VTV - v.č.07, ozn. T 15</t>
  </si>
  <si>
    <t>T 17 : 2,7*2</t>
  </si>
  <si>
    <t>Parapet vnitřní postforming, dl. 2700 mm, š. 300 mm, bílý, včetně krytek, provedení podle popisu ve VTV - v.č.07, ozn. T 17</t>
  </si>
  <si>
    <t>T 18 : 3,0*6</t>
  </si>
  <si>
    <t>Parapet vnitřní postforming, dl. 3000 mm, š. 400+70 mm, bílý, včetně krytek, vč. mřížky nad radiátory z elox. hliníku 1x 1500/200 mm, provedení podle popisu ve VTV - v.č.07, ozn. T 18</t>
  </si>
  <si>
    <t>T 19 : 0,9*7</t>
  </si>
  <si>
    <t>Parapet vnitřní postforming, dl. 900 mm, š. 400+70 mm, bílý, včetně krytek, vč. mřížky nad radiátory z elox. hliníku 1x 1500/200 mm, provedení podle popisu ve VTV - v.č.07, ozn. T 19</t>
  </si>
  <si>
    <t>T 20 : 1,2*1</t>
  </si>
  <si>
    <t>Parapet vnitřní postforming, dl. 1200 mm, š. 70 mm, bílý, včetně krytek, provedení podle popisu ve VTV - v.č.07, ozn. T 20</t>
  </si>
  <si>
    <t>T 21 : 4,5*5</t>
  </si>
  <si>
    <t>Parapet vnitřní postforming, dl. 4500 mm, š. 400+70 mm, bílý, včetně krytek, vč. mřížky nad radiátory z elox. hliníku 2x 1500/200 mm, provedení podle popisu ve VTV - v.č.07, ozn. T 21</t>
  </si>
  <si>
    <t>T 22 : 1,0*2</t>
  </si>
  <si>
    <t>Parapet vnitřní postforming, dl. 1000 mm, š. 400 mm, bílý, včetně krytek, provedení podle popisu ve VTV - v.č.07, ozn. T 22</t>
  </si>
  <si>
    <t>T 23 : 2,1*3</t>
  </si>
  <si>
    <t>Parapet vnitřní postforming, dl. 2100 mm, š. 400+70 mm, bílý, včetně krytek, vč. mřížky nad radiátory z elox. hliníku 1x 1500/200 mm, provedení podle popisu ve VTV - v.č.07, ozn. T 23</t>
  </si>
  <si>
    <t>766695213R00</t>
  </si>
  <si>
    <t>Montáž prahů dveří jednokřídlových š. nad 10 cm</t>
  </si>
  <si>
    <t>T 16 : 1</t>
  </si>
  <si>
    <t>Práh dubový lakovaný, délka 820 mm, š. 300 mm, tl. 2 cm, ozn. T 16</t>
  </si>
  <si>
    <t>pozn : technické požadavky pro provedení klempířských prací viz TZ a výkresová část</t>
  </si>
  <si>
    <t>Parapet z ocel. pozink.poplast. plechu tl. 0,55mm, dl. 5400 mm, rš 330 mm, kotvení příponkami, provedení podle popisu ve VKP - v.č.02, ozn. K 01</t>
  </si>
  <si>
    <t>Parapet z ocel. pozink.poplast. plechu tl. 0,55mm, dl. 6600 mm, rš 330 mm, kotvení příponkami, provedení podle popisu ve VKP - v.č.02, ozn. K 02</t>
  </si>
  <si>
    <t>Parapet z ocel. pozink.poplast. plechu tl. 0,55mm, dl. 1000 mm, rš 330 mm, kotvení příponkami, provedení podle popisu ve VKP - v.č.02, ozn. K 03</t>
  </si>
  <si>
    <t>Parapet z ocel. pozink.poplast. plechu tl. 0,55mm, dl. 2400 mm, rš 330 mm, kotvení příponkami, provedení podle popisu ve VKP - v.č.02, ozn. K 04</t>
  </si>
  <si>
    <t>Parapet z ocel. pozink.poplast. plechu tl. 0,55mm, dl. 2100 mm, rš 330 mm, kotvení příponkami, provedení podle popisu ve VKP - v.č.02, ozn. K 05</t>
  </si>
  <si>
    <t>Parapet z ocel. pozink.poplast. plechu tl. 0,55mm, dl. 3300 mm, rš 330 mm, kotvení příponkami, provedení podle popisu ve VKP - v.č.02, ozn. K 06</t>
  </si>
  <si>
    <t>Parapet z ocel. pozink.poplast. plechu tl. 0,55mm, dl. 1500 mm, rš 400 mm, kotvení příponkami, provedení podle popisu ve VKP - v.č.02, ozn. K 07</t>
  </si>
  <si>
    <t>Oplechování zdi z Cu plechu tl. 0,6mm, rš 1000 mm, kotvení příponkami, provedení podle popisu ve VKP - v.č.02, ozn. K 08</t>
  </si>
  <si>
    <t>Oplechování atiky u LOP z ocel. pozink. plechu tl. 0,55mm, rš 1000 mm, kotvení příponkami, provedení podle popisu ve VKP - v.č.02, ozn. K 09</t>
  </si>
  <si>
    <t>Oplechování atiky u kam. obkl. z ocel. pozink. plechu tl. 0,55mm, rš 1000 mm, kotvení příponkami, provedení podle popisu ve VKP - v.č.02, ozn. K 10</t>
  </si>
  <si>
    <t>Oplechování kruhové atiky u strojovny z ocel. pozink. plechu tl. 0,55mm, rš 500 mm, kotvení příponkami, provedení podle popisu ve VKP - v.č.02, ozn. K 12</t>
  </si>
  <si>
    <t>Oplechování atiky 4.NP z ocel. pozink. plechu tl. 0,55mm, rš 500 mm, kotvení příponkami, provedení podle popisu ve VKP - v.č.02, ozn. K 13</t>
  </si>
  <si>
    <t>Oplechování prostupů VZT z ocel. pozink. plechu tl. 0,55mm, rš 500 mm, provedení podle popisu ve VKP - v.č.02, ozn. K 14</t>
  </si>
  <si>
    <t>Oplechování světlíku z ocel. pozink. plechu tl. 0,55mm, rš 600 mm, provedení podle popisu ve VKP - v.č.02, ozn. K 15</t>
  </si>
  <si>
    <t>Oplechování výlezu z ocel. pozink.poplast. plechu tl. 0,55mm, dl. 1000 mm, rš 330 mm, kotvení příponkami, provedení podle popisu ve VKP - v.č.02, ozn. K 16</t>
  </si>
  <si>
    <t>Oplechování vstupu na střechu z ocel. pozink.poplast. plechu tl. 0,55mm, dl. 1000 mm, rš 330 mm, kotvení příponkami, provedení podle popisu ve VKP - v.č.02, ozn. K 17</t>
  </si>
  <si>
    <t>Lem zateplení z ocel. pozink.poplast. plechu tl. 0,55mm, provedení podle popisu ve VKP - v.č.02, ozn. K 18</t>
  </si>
  <si>
    <t>Oplechování VZT stříšek z ocel. pozink. plechu tl. 0,55mm, rš 1000 mm, provedení podle popisu ve VKP - v.č.02, ozn. K 19</t>
  </si>
  <si>
    <t>Parapet z ocel. pozink.poplast. plechu tl. 0,55mm, dl. 4600 mm, rš 500 mm, kotvení příponkami, provedení podle popisu ve VKP - v.č.02, ozn. K 20</t>
  </si>
  <si>
    <t>Parapet z ocel. pozink.poplast. plechu tl. 0,55mm, dl. 600 mm, rš 500 mm, kotvení příponkami, provedení podle popisu ve VKP - v.č.02, ozn. K 21</t>
  </si>
  <si>
    <t>Parapet z ocel. pozink.poplast. plechu tl. 0,55mm, dl. 1500 mm, rš 500 mm, kotvení příponkami, provedení podle popisu ve VKP - v.č.02, ozn. K 22</t>
  </si>
  <si>
    <t>Parapet z ocel. pozink.poplast. plechu tl. 0,55mm, dl. 2700 mm, rš 500 mm, kotvení příponkami, provedení podle popisu ve VKP - v.č.02, ozn. K 23</t>
  </si>
  <si>
    <t>Oplechování markýzy z ocel. pozink. plechu tl. 0,55mm, rš 330 mm, provedení podle popisu ve VKP - v.č.02 a detailu 32, ozn. K 24</t>
  </si>
  <si>
    <t>Oplechování KZS z ocel.pozink. poplast. plechu tl. 0,55mm, dl. 1200 mm, rš 300 mm, kotvení příponkami, provedení podle popisu ve VKP - v.č.02, ozn. K 25</t>
  </si>
  <si>
    <t>Oplechování KZS z ocel.pozink. poplast. plechu tl. 0,55mm, dl. 2500 mm, rš 300 mm, kotvení příponkami, provedení podle popisu ve VKP - v.č.02, ozn. K 26</t>
  </si>
  <si>
    <t>Oplechování KZS z ocel.pozink. poplast. plechu tl. 0,55mm, dl. 2000 mm, rš 300 mm, kotvení příponkami, provedení podle popisu ve VKP - v.č.02, ozn. K 27</t>
  </si>
  <si>
    <t>Přítlačná lišta PVC fólie z ocel. pozink. plechu tl. 0,55mm, rš 300 mm, provedení podle popisu ve VKP - v.č.02, ozn. K 28</t>
  </si>
  <si>
    <t>620000003</t>
  </si>
  <si>
    <t>Demontáž zavěšeného travertinového obkladu, vč. uskladnění pro další použití (předpoklad výměny 5% plochy desek)</t>
  </si>
  <si>
    <t>Tepelná izolace zavěšené kamenné fasády, minerální vatou tl. 60 + 20 mm vloženou do stávajícího ocelového roštu + paropropustná fólie lepená oboustrannými páskami na stávající hliníkový profil. Úprava u atiky viz detail č.1</t>
  </si>
  <si>
    <t>001</t>
  </si>
  <si>
    <t>Zemní práce</t>
  </si>
  <si>
    <t>347015112</t>
  </si>
  <si>
    <t>Předstěna SDK W625, tl.65 mm, ocel. kce CW, 1x RF 12,5 mm, minerální vata tl. 40 mm, parotěsná fólie</t>
  </si>
  <si>
    <t>západ : (8,225+3,45*3+2,25+3,425+3,25)*3,25</t>
  </si>
  <si>
    <t>-((5,4*1,5*3)+(6,6*1,5)+(2,4*1,85))</t>
  </si>
  <si>
    <t>(4,575+2,35*2+4,55+2,2+4,65+3,425*4+3,25*3+2,375*2+4,5+3,45*2+3,475+2,25+4,625+3,35*2+4,775)*3</t>
  </si>
  <si>
    <t>-((5,4*1,85*9)+(6,6*1,85*3)+(2,4*1,85*3))</t>
  </si>
  <si>
    <t>sever : (8,225*2+5,9)*3,25</t>
  </si>
  <si>
    <t>-((5,4*1,65)+(6,6*1,5)+(2,1*1,5*2)+(3,3*1,5))</t>
  </si>
  <si>
    <t>(3,425*2+2,375*3+7,05+2,15+2,25+3,493+3,451+3,25*2+5,95+3,35+3,3*2+3,325+3,55+2,2+2,225+3,575*2+2,125*2+4,525)*3</t>
  </si>
  <si>
    <t>východ : (8,23+2,22+2,15+2,375+3,325+2,35)*3,25</t>
  </si>
  <si>
    <t>-((5,4*1,5*2)+(6,6*1,5)+(1*1,2))</t>
  </si>
  <si>
    <t>(4,65+2,2+2,277+3,324+2,375*5+3,325*2+2,4+3,4+3,25+3,425*2+3,35*4+3,575*2+2,225*2+3,3*2+3,325)*3</t>
  </si>
  <si>
    <t>-((5,4*1,85*8)+(6,6*1,85*3)+(3,35*1,85)+(2,4*1,85*3))</t>
  </si>
  <si>
    <t>347990000</t>
  </si>
  <si>
    <t>východ : 30,05</t>
  </si>
  <si>
    <t>sever : 25,55</t>
  </si>
  <si>
    <t>západ : 38,6</t>
  </si>
  <si>
    <t xml:space="preserve">SDK obklad stojky ocelového osazovacího rámu, 1x RF 12,5 mm, provedení viz. Detaily - v.č.1, detail 9 </t>
  </si>
  <si>
    <t>620000004</t>
  </si>
  <si>
    <t>Doplnění nosného roštu a travertinového obkladu v místě ubouraného schodiště na východní fasádě - rozsah bude upřesněn</t>
  </si>
  <si>
    <t>620000005</t>
  </si>
  <si>
    <t xml:space="preserve">travertinové obklady opěrných zídek, předběžně 50% plochy : </t>
  </si>
  <si>
    <t>sever : 45*0,5</t>
  </si>
  <si>
    <t>východ : 45*0,5</t>
  </si>
  <si>
    <t>jih : 35*0,5</t>
  </si>
  <si>
    <t>Doplnění travertinových obkladů opěrných zídek, včetně dodávky, struktura a barevnost dle stávajících, očištění podkladu, penetrace, mrazuvzdorné lepidlo + nerez kotvy, rozsah bude upřesněn, provedení podle popisu ve VOV - v.č.05, ozn. H 03</t>
  </si>
  <si>
    <t>978015221R00</t>
  </si>
  <si>
    <t>Otlučení omítek vnějších MVC v složit. 1-4 do 10%</t>
  </si>
  <si>
    <t>opěrné zídky, rozsah bude upřesněn : 250,0</t>
  </si>
  <si>
    <t>612433214R00</t>
  </si>
  <si>
    <t>Omítka sanační dvouvrstvá, tl. 35 mm</t>
  </si>
  <si>
    <t>Nátěry</t>
  </si>
  <si>
    <t>783522000R00</t>
  </si>
  <si>
    <t>Nátěr syntet. klempířských konstrukcí, Z + 2 x</t>
  </si>
  <si>
    <t>technická specifikace nátěru klempířských prvků viz VKP - v.č.02, životnost vysoká (15 let)</t>
  </si>
  <si>
    <t>prvky K 09, 10, 12, 13, 14, 15, 19, 24, 27 : 244,5</t>
  </si>
  <si>
    <t>Příplatek za nestandardní barvu u prvků z ocel. pozink. poplastovaného plechu</t>
  </si>
  <si>
    <t>008</t>
  </si>
  <si>
    <t>Trubní vedení</t>
  </si>
  <si>
    <t>340239211RT2</t>
  </si>
  <si>
    <t>Zazdívka otvorů pl.4 m2, cihlami tl. zdi do 10 cm s použitím suché maltové směsi</t>
  </si>
  <si>
    <t>západ : 0,4*3,25*5+0,4*3*15</t>
  </si>
  <si>
    <t>sever : 0,4*3,25+0,4*3*11</t>
  </si>
  <si>
    <t>východ : 0,4*3,25*3+0,4*3*13</t>
  </si>
  <si>
    <t>612473182R00</t>
  </si>
  <si>
    <t>Omítka vnitřního zdiva ze suché směsi, štuková</t>
  </si>
  <si>
    <t xml:space="preserve">dozdívky příček u obvod. pláště : </t>
  </si>
  <si>
    <t>965042141RT4</t>
  </si>
  <si>
    <t>Bourání mazanin betonových tl. 10 cm, nad 4 m2, sbíječka tl. mazaniny 8 - 10 cm</t>
  </si>
  <si>
    <t>m3</t>
  </si>
  <si>
    <t>západ, podklad okap.chodn. : 40*0,5*0,1</t>
  </si>
  <si>
    <t>sever, podklad okap.chodn. : 30*1*0,1</t>
  </si>
  <si>
    <t>113106121R00</t>
  </si>
  <si>
    <t>Rozebrání dlažeb z betonových dlaždic na sucho</t>
  </si>
  <si>
    <t xml:space="preserve">analog. do beton.lože : </t>
  </si>
  <si>
    <t>západ, podklad okap.chodn. : 40*0,5</t>
  </si>
  <si>
    <t>sever, podklad okap.chodn. : 30*1</t>
  </si>
  <si>
    <t>132201111R00</t>
  </si>
  <si>
    <t>Hloubení rýh š. do 60 cm v hor.3 do 100 m3, STROJNĚ</t>
  </si>
  <si>
    <t>139601102R00</t>
  </si>
  <si>
    <t>Ruční výkop jam, rýh a šachet v hornině tř. 3</t>
  </si>
  <si>
    <t>151101101R00</t>
  </si>
  <si>
    <t>Pažení a rozepření stěn rýh - příložné - hl. do 2m</t>
  </si>
  <si>
    <t>151101111R00</t>
  </si>
  <si>
    <t>Odstranění pažení stěn rýh - příložné - hl. do 2m</t>
  </si>
  <si>
    <t>162701105R00</t>
  </si>
  <si>
    <t>Vodorovné přemístění výkopku z hor. 1-4 do 10000 m</t>
  </si>
  <si>
    <t>162701109R00</t>
  </si>
  <si>
    <t>Příplatek k vod. přemístění hor.1-4 za další 1 km</t>
  </si>
  <si>
    <t>162201203R00</t>
  </si>
  <si>
    <t>Vodorovné přemíst. výkopku, kolečko hor.1-4, do 10 m</t>
  </si>
  <si>
    <t>162201210R00</t>
  </si>
  <si>
    <t>Příplatek za dalš. 10 m, kolečko, výkop. z hor.1-4</t>
  </si>
  <si>
    <t>181101111R00</t>
  </si>
  <si>
    <t xml:space="preserve">Úprava pláně v zářezech se zhutněním - ručně </t>
  </si>
  <si>
    <t>199000005R00</t>
  </si>
  <si>
    <t>Poplatek za skládku zeminy 1 - 4</t>
  </si>
  <si>
    <t>(40+30)*0,6</t>
  </si>
  <si>
    <t>961055111R00</t>
  </si>
  <si>
    <t>Bourání základů železobetonových</t>
  </si>
  <si>
    <t>západ, panelová přizdívka : 40*0,2*0,6</t>
  </si>
  <si>
    <t>sever, panelová přizdívka : 30*0,2*0,6</t>
  </si>
  <si>
    <t>západ, pro drenáž : 40*0,6*1,4</t>
  </si>
  <si>
    <t>sever, pro drenáž : 30*0,6*1,4</t>
  </si>
  <si>
    <t>západ : 40*1,4*2</t>
  </si>
  <si>
    <t>sever : 30*1,4*2</t>
  </si>
  <si>
    <t>622421121R00</t>
  </si>
  <si>
    <t>Omítka vnější stěn, MVC, hrubá zatřená</t>
  </si>
  <si>
    <t>Izolace proti vodě</t>
  </si>
  <si>
    <t>711150022RA0</t>
  </si>
  <si>
    <t>Izolace proti vodě svislá přitavená, 2x</t>
  </si>
  <si>
    <t>včetně penetrace a dodávky modifikovaného asfalt. pásu</t>
  </si>
  <si>
    <t>713131131R00</t>
  </si>
  <si>
    <t>Izolace tepelná stěn lepením</t>
  </si>
  <si>
    <t>28375490.2</t>
  </si>
  <si>
    <t>Deska polystyrenová XPS 300 SF tl. 50 mm</t>
  </si>
  <si>
    <t>77*1,03</t>
  </si>
  <si>
    <t>západ, drenáž : 40*1,1</t>
  </si>
  <si>
    <t>sever, drenáž : 30*1,1</t>
  </si>
  <si>
    <t>711482020RZ1</t>
  </si>
  <si>
    <t>sever, drenáž : 30*1</t>
  </si>
  <si>
    <t>západ, drenáž : 40*1</t>
  </si>
  <si>
    <t>západ, drenáž : 40*1,3</t>
  </si>
  <si>
    <t>sever, drenáž : 30*1,3</t>
  </si>
  <si>
    <t>západ, vyrovnání pod izolaci : 40*1,3</t>
  </si>
  <si>
    <t>sever, vyrovnání pod izolaci : 30*1,3</t>
  </si>
  <si>
    <t>711491272RZ1</t>
  </si>
  <si>
    <t>Izolace tlaková, ochranná textilie svislá, včetně dodávky textilie 300 g / m2</t>
  </si>
  <si>
    <t>711491175R00</t>
  </si>
  <si>
    <t>Izolace tlaková, připevnění kotevními pásky</t>
  </si>
  <si>
    <t>západ, drenáž : 40*2</t>
  </si>
  <si>
    <t>sever, drenáž : 30*2</t>
  </si>
  <si>
    <t>Izolační systém profilovanou fólií, svisle, včetně dodávky fólie tl. 20 mm a doplňků</t>
  </si>
  <si>
    <t>Trativody z PVC drenážních flexibilních trubek, obsyp štěrkem 4/8, trubka d 150 mm včetně spojek, viz VOV - v.č.05, ozn. H 01</t>
  </si>
  <si>
    <t>západ : 40,0</t>
  </si>
  <si>
    <t>sever : 30,0</t>
  </si>
  <si>
    <t>Drenážní šachta DN 400, plastová, viz VOV - v.č.05, ozn. H 02</t>
  </si>
  <si>
    <t>831350012RAC</t>
  </si>
  <si>
    <t>Kanalizace z trub PVC hrdlových D 160, hloubka 2,5 m</t>
  </si>
  <si>
    <t>napojení drenáže do kanalizace : 10*2</t>
  </si>
  <si>
    <t>Napojení potrubí D 160 mm do kanalizační šachty, prostup proveden navrtáním</t>
  </si>
  <si>
    <t>212312111R00</t>
  </si>
  <si>
    <t>Lože trativodu z betonu prostého</t>
  </si>
  <si>
    <t>sever : 30*0,6*0,15</t>
  </si>
  <si>
    <t>západ : 40*0,6*0,15</t>
  </si>
  <si>
    <t>212561111R00</t>
  </si>
  <si>
    <t>Výplň odvodňov. trativodů kam. hrubě drcen. 16 mm</t>
  </si>
  <si>
    <t>západ : 40*1*0,4</t>
  </si>
  <si>
    <t>sever : 30*1*0,4</t>
  </si>
  <si>
    <t>005</t>
  </si>
  <si>
    <t>Komunikace pozemní a letiště</t>
  </si>
  <si>
    <t>564851111R00</t>
  </si>
  <si>
    <t>Podklad ze štěrkodrti po zhutnění tloušťky 15 cm</t>
  </si>
  <si>
    <t>567211110R00</t>
  </si>
  <si>
    <t>Podklad z prostého betonu tř. I tloušťky 10 cm</t>
  </si>
  <si>
    <t>Kladení dlažby z dlaždic kom. pro pěší do lože z MC, včetně dlaždic betonových 40/40/5 cm</t>
  </si>
  <si>
    <t>622300131R00</t>
  </si>
  <si>
    <t>Vyrovnání podkladu tmelem tl. do 5 mm</t>
  </si>
  <si>
    <t>622324121</t>
  </si>
  <si>
    <t>západ : 27,8*0,45</t>
  </si>
  <si>
    <t>sever : 25,2*0,45</t>
  </si>
  <si>
    <t>východ : 22,8*0,45</t>
  </si>
  <si>
    <t>4.NP : 6,0</t>
  </si>
  <si>
    <t>968062244R00</t>
  </si>
  <si>
    <t>Vybourání dřevěných rámů oken jednoduch. pl. 1 m2</t>
  </si>
  <si>
    <t>4.NP, včetně parapetů : 0,6*0,6*3</t>
  </si>
  <si>
    <t>4.NP : 1,0</t>
  </si>
  <si>
    <t>4.NP : 0,8*2</t>
  </si>
  <si>
    <t>4.NP : 30,0</t>
  </si>
  <si>
    <t>4.NP : 4,56*1,5+2,7*1,5*2+1,5*1,5*12</t>
  </si>
  <si>
    <t>767311810R00</t>
  </si>
  <si>
    <t>Demontáž světlíků všech typů včetně zasklení</t>
  </si>
  <si>
    <t>767321810R00</t>
  </si>
  <si>
    <t>Demontáž podsvětlíků všech typů včetně zasklení</t>
  </si>
  <si>
    <t>sever, 1.PP : 3,4*3,25</t>
  </si>
  <si>
    <t>4.NP, demontáž vyjma táhla kotevních úhelníků : 13,1*3,2*2</t>
  </si>
  <si>
    <t>4.NP, demontáž skel, OK ponechat : 12,8*4,6</t>
  </si>
  <si>
    <t>Úprava atiky OSB deskou tl. 24 mm š. 450 mm + odstřižení oplechování a vytvoření lemu, provedení podle Detailů - v.č.01, detail 01, 02</t>
  </si>
  <si>
    <t>světlík : (4,55+12,75)*2*1,5</t>
  </si>
  <si>
    <t>622471317R00</t>
  </si>
  <si>
    <t>Nátěr nebo nástřik stěn vnějších, složitost 1 - 2</t>
  </si>
  <si>
    <t>opěrné zídky, předběžně 10% plochy, rozsah bude upřesněn : 25,0</t>
  </si>
  <si>
    <t>opěrné zídky : 250,0</t>
  </si>
  <si>
    <t>622904112R00</t>
  </si>
  <si>
    <t>Očištění fasád tlakovou vodou složitost 1 - 2</t>
  </si>
  <si>
    <t>622324733</t>
  </si>
  <si>
    <t>Zateplovací systém s minerální vlnou tl. 120 mm, finální úprava stěrkovou probarvenou silikonovou omítkou 2mm, U=0,36 W/m2.K, viz Skladby - v.č.06, ozn. S 01, S 08</t>
  </si>
  <si>
    <t>622323013</t>
  </si>
  <si>
    <t>Soklová lišta hliník KZS tl. 120 mm</t>
  </si>
  <si>
    <t>622324753</t>
  </si>
  <si>
    <t>Zateplovací systém s minerální vlnou, ostění, tl. 30 mm, finální úprava stěrkovou probarvenou silikonovou omítkou 2mm</t>
  </si>
  <si>
    <t>622323763</t>
  </si>
  <si>
    <t>Zateplovací systém s minerální vlnou, parapet, tl. 30 mm</t>
  </si>
  <si>
    <t>4.NP : (0,6*3+1,5*12+2,7*2)*0,2</t>
  </si>
  <si>
    <t>4.NP : 1,8*0,2*3+4,5*0,2*12+5,7*0,2*2+4,8*0,2</t>
  </si>
  <si>
    <t>sever : 2,5*2,3+1,2*2,4</t>
  </si>
  <si>
    <t>Zateplovací syst.s extrudovaným polystyrenem tl. 60 mm, finální úprava stěrkovou omítkou, šedá, U=0,36 W/m2.K, viz Skladby - v.č.06, ozn. S 04</t>
  </si>
  <si>
    <t>východ : 3,5*2,3+2,4*2,8</t>
  </si>
  <si>
    <t>-((1*1,2*2)+(1,6*2))</t>
  </si>
  <si>
    <t>Doplnění minerálního podhledu včetně roštu, typ dle stávajícího</t>
  </si>
  <si>
    <t>Zavěšená fasáda z původního travertinového obkladu, vč. doplnění 5% plochy desek, vč. revize a případné opravy stávajícího hliníkového roštu a nátěru ocelových částí. V místě napojení na LOP bude provedeno zkrácení kamenného obkladu. Viz Skladby - v.č.06, ozn. S 03 a Detaily - v.č.01, detail 07</t>
  </si>
  <si>
    <t>632451022R00</t>
  </si>
  <si>
    <t>Vyrovnávací potěr MC 15, v pásu, tl. 30 mm</t>
  </si>
  <si>
    <t>4.NP, vyrovnání pod parapety : (0,6*3+1,5*12+2,7*2)*0,33</t>
  </si>
  <si>
    <t>612425931R00</t>
  </si>
  <si>
    <t>Omítka vápenná vnitřního ostění - štuková</t>
  </si>
  <si>
    <t>4.NP, opravy po výměně oken a dveří : (1,8*3+4,5*12+5,7*2+4,8)*0,15</t>
  </si>
  <si>
    <t>4.NP : (14,405+24,15)*2*3,4</t>
  </si>
  <si>
    <t>-((0,6*0,6*3)+(1,5*1,5*12)+(2,7*1,5*2)+(0,8*2))</t>
  </si>
  <si>
    <t>strojovna : 2*3,14*2,25*3,3</t>
  </si>
  <si>
    <t>4.NP : (14,405+24,15)*2</t>
  </si>
  <si>
    <t>622319011</t>
  </si>
  <si>
    <t>Soklová lišta hliník KZS tl. 60 mm</t>
  </si>
  <si>
    <t>sever : 2,5+1,2</t>
  </si>
  <si>
    <t>východ : 3,5+2,4</t>
  </si>
  <si>
    <t>strojovna : 2*3,14*2,25</t>
  </si>
  <si>
    <t>západ : 27,8</t>
  </si>
  <si>
    <t>sever : 25,2</t>
  </si>
  <si>
    <t>východ : 22,8</t>
  </si>
  <si>
    <t>suterén, rozsah bude upřesněn : 25,0</t>
  </si>
  <si>
    <t>978013191R00</t>
  </si>
  <si>
    <t>Otlučení omítek vnitřních stěn v rozsahu do 100 %</t>
  </si>
  <si>
    <t>Přemístění stávajících radiátorů, nové úchyty do podlahy, úprava rozvodů, případná oprava a doplnění (ventily, termohlavice apod.), nátěr, regulace topné soustavy</t>
  </si>
  <si>
    <t>západ : 1,205*3,3</t>
  </si>
  <si>
    <t>310278841R00</t>
  </si>
  <si>
    <t>Zazdívka otvorů pl. do 1 m2 tvárnicemi, tl. zdi 30cm</t>
  </si>
  <si>
    <t>rozsah bude upřesněn : 50,0</t>
  </si>
  <si>
    <t>v místě bouraných boletických panelů, rozsah bude upřesněn : 15,0</t>
  </si>
  <si>
    <t>Oprava, případně doplnění keramické dlažby, typ dle stávající, včetně vybourání poškozených dlaždic, srovnání podkladu a dodávky nové dlažby</t>
  </si>
  <si>
    <t>Provedení keramických soklíků u nových vnitřních SDK předstěn, v. 10 cm, včetně dodávky soklové dlaždice</t>
  </si>
  <si>
    <t>Úprava a doplnění dřevěného obkladu u LOP, vč. ukončující lišty</t>
  </si>
  <si>
    <t>Dod.a montáž EI, podle samostatného výkazu a rozpočtu</t>
  </si>
  <si>
    <t>Oprava, případné doplnění keramického obkladu, typ dle stávajícího, včetně vybourání poškozených obkladaček, srovnání podkladu a dodávky nového obkladu</t>
  </si>
  <si>
    <t>4.NP, v místě bouraných oken, rozsah bude upřesněn : 1,0</t>
  </si>
  <si>
    <t>Vzduchotěsné uzavření stávajících dveří v příčkách u rekonstruovaných prostor</t>
  </si>
  <si>
    <t>pozn : technické požadavky na výplně otvorů viz TZ a výkresová část, včetně podrobností provedení podle Detailů - v.č.01, detail 03, 04, 05, 08, 09, 20, 21. Součástí ocenění jsou všechny potřebné doplňkové prvky, APU lišty, rozšiřovací profily apod.</t>
  </si>
  <si>
    <t>Fasáda ze sendvičových panelů tl. 150 mm, U=0,29 W/m2.K, plášť s mikrovlnou dtto jako jižní fasáda, včetně systémových lemovacích prvků, parapetů oken, ukončení atiky a řešení návazností na okolní konstrukce, řešení přepážek v úrovni stropů mezi LOP a stáv.konstrukcí přířezem panelu, spoje a obvod vypěněny nehořlavou pěnou. Barevnost v odstínech RAL 5024 a 9010. Podrobnosti provedení viz TZ, Skladby - v.č.06, ozn. S 02 a Detaily - v.č.01</t>
  </si>
  <si>
    <t>Dod.a montáž střešního záchytného systému vč. závěrečné revize, provedení podle přílohy č.1, ozn. Z 01, včetně kotvení, viz Detaily - v.č.01, detail 13, 14</t>
  </si>
  <si>
    <t>pozn : technické požadavky na výplně otvorů viz TZ a výkresová část. Součástí ocenění jednotlivých položek jsou všechny potřebné systémové doplňkové profily a prvky</t>
  </si>
  <si>
    <t>pozn : technické požadavky na KZS a LOP viz TZ a výkresová část. Součástí ocenění jednotlivých položek jsou všechny potřebné systémové doplňkové profily a prvky</t>
  </si>
  <si>
    <t>Přípravné práce - přesun vysílačky a internetu vč. vedení na střechu, z m.č.237 do m.č.205 - viz ZOV</t>
  </si>
  <si>
    <t>Dod.a montáž střešního světlíku 14 x 5,5 m, hliníková konstrukce s přerušeným tepelným mostem, zasklení štítů a šikmých částí, provedení podle popisu ve VOV - v.č.05, ozn. H 05 a navazujících detailů - v.č.01, det. 15, 16, 23</t>
  </si>
  <si>
    <t xml:space="preserve">Přípravné práce - přeložení a zatrubkování vč. mech. kotvení - optický kabel do m.č. 406 na střeše </t>
  </si>
  <si>
    <t>900000018</t>
  </si>
  <si>
    <t>Vodorovné konstrukce</t>
  </si>
  <si>
    <t>004</t>
  </si>
  <si>
    <t>978015291R00</t>
  </si>
  <si>
    <t>Otlučení omítek vnějších MVC v složit. 1-4 do 100%</t>
  </si>
  <si>
    <t>přístřešky VZT : (2+1,8+4,7+1,4+1,6+1)*2*1,2</t>
  </si>
  <si>
    <t>764990000</t>
  </si>
  <si>
    <t>767990000</t>
  </si>
  <si>
    <t>622421131R00</t>
  </si>
  <si>
    <t>Omítka vnější stěn, MVC, hladká, složitost 1-2</t>
  </si>
  <si>
    <t>622471511</t>
  </si>
  <si>
    <t>drobné dozdívky, rozsah bude upřesněn : 1,5</t>
  </si>
  <si>
    <t>900000019</t>
  </si>
  <si>
    <t>Přípravné práce - demontáž konstrukcí na střeše - bodové světlíky, rekonstruované VZT, odvětrávací hlavice, vpusti apod., vč. odvozu a likvidace</t>
  </si>
  <si>
    <t>Přípravné práce - ověření funkčnosti nerekonstruovaných VZT na střeše, prodloužení vedení bez přístřešků na min. 500 mm nad rovinu střechy + dodání nové hlavice proti zatékání.</t>
  </si>
  <si>
    <t>Přípravné práce - demontáž VZT pod přístřešky, prodloužení potrubí a zpětná montáž po zateplení střechy, vč. napojení el. motoru a kabelového rozvodu. V případě nefunkčnosti dané VZT bude provedeno její zaslepení.</t>
  </si>
  <si>
    <t>900000020</t>
  </si>
  <si>
    <t>900000021</t>
  </si>
  <si>
    <t>Povlaková krytina střešní PVC fólií tl. 1,5 mm, podklad textilií 300 g/m2, tepelná izolace minerální vatou pro ploché střechy tl. celkem 160 mm (ve 2 vrstvách), vyspravení stávající hydroizolace.Návrh kotvení bude součástí dodávky. Napojení fólie na navazující konstrukce vytažením min. 150 mm + dotmelení PUR tmelem a/nebo PVC manžetou. Viz Skladby - v.č.06, skladba S 10.</t>
  </si>
  <si>
    <t>pozn : technické požadavky pro provedení střešního pláště viz TZ a v.č.10 - Střecha a dále navazující podrobnosti viz Detaily - v.č. 01. Součástí ocenění jsou i všechny systémové prvky a lišty, náběhové klíny apod.</t>
  </si>
  <si>
    <t>Povlaková krytina střešní PVC fólií tl. 1,5 mm - vytažení pod atikový plech</t>
  </si>
  <si>
    <t>nad 4.NP : 9,1*12,8*2-3,1*0,6</t>
  </si>
  <si>
    <t>nad 3.NP : 6*4,6+6*25,3-3,4*0,8*2+29,9*2,2+11,8*0,8+3,2*13,5*2+29,9*2,8-6,8*0,6+34,5*6,3+25,3*0,8+5,8*3,5-1,3*1,1*2</t>
  </si>
  <si>
    <t>Povlaková krytina střešní PVC fólií tl. 1,5 mm, podklad textilií 300 g/m2, očištění podkladu. Napojení fólie na navazující konstrukce vytažením min. 150 mm + dotmelení PUR tmelem a/nebo PVC manžetou. Viz Skladby - v.č.06, skladba S 07, S 13.</t>
  </si>
  <si>
    <t>Napojení střešní krytiny na stěnu, včetně PVC fólie tl. 1,5 mm, tep. izolace tl. 60 mm, textilie 300 g/ m2 a impreg. latě, provedení viz Detaily - v.č. 01, detail 10 a Skladby - v.č.06, S 09</t>
  </si>
  <si>
    <t xml:space="preserve">Napojení střešní krytiny na světlík, včetně PVC fólie tl. 1,5 mm, tep. izolace tl. 50 mm, textilie 300 g/ m2 a Cetris desky tl. 16 mm, provedení viz Detaily - v.č. 01, detail 15 </t>
  </si>
  <si>
    <t>Prodloužení stávajících vývodů VZT na střeše, provedení podle popisu ve VOV - v.č.05, ozn. H 06</t>
  </si>
  <si>
    <t>Dod.a montáž prostupu pro kabely střechou D 125 mm vč.lemu + potrubí skrz střechu, dotěsnění a pož.ucpávka, odvrtání, provedení podle popisu ve VOV - v.č.05, ozn. H 08 a Detailů - v.č.01, detail 11</t>
  </si>
  <si>
    <t>Prodloužení stávajících vývodů ZTI na střeše, provedení podle popisu ve VOV - v.č.05, ozn. H 04 a Detailů - v.č.01, detail 17</t>
  </si>
  <si>
    <t>Dod.a montáž střešní vpusti D 125 mm vč. PVC límce, nerez. ochr. koše a prodloužení vyústění, provedení podle popisu ve VOV - v.č.05, ozn. H 07 a Detailů - v.č.01, detail 18, 19</t>
  </si>
  <si>
    <t>H. Urban</t>
  </si>
  <si>
    <t>Dod.a montáž bodového světlíku vč. lemu, čirý, velikost dle stávajících, provedení podle popisu ve VOV - v.č. 05, ozn. H 09</t>
  </si>
  <si>
    <t>Dod.a montáž zápachové uzávěrky střešní vpusti, nerez mechanická, provedení podle popisu ve VOV - v.č.05, ozn. H 12</t>
  </si>
  <si>
    <t>Úprava u prahu dveří na střechu, provedení podle Detailů - v.č.01, detail 22</t>
  </si>
  <si>
    <t>Přesun venkovních kondenzačních klima jednotek, včetně výměny chladiva a revize, viz VOV - v.č.05, ozn. H 10</t>
  </si>
  <si>
    <t>Dod.a montáž větrací mřížky, viz VOV - v.č.05, ozn. H 12</t>
  </si>
  <si>
    <t>Dod.a montáž větrací mřížky vč. otvoru a trubky skrz zeď, začištění, viz VOV - v.č.05, ozn. H 11</t>
  </si>
  <si>
    <t>900000022</t>
  </si>
  <si>
    <t>900000023</t>
  </si>
  <si>
    <t>900000024</t>
  </si>
  <si>
    <t>keramický obklad strojovny : 2*3,14*2,3*3,3</t>
  </si>
  <si>
    <t>strojovna, po odsekaném obkladu : 2*3,14*2,3*3,3</t>
  </si>
  <si>
    <t>622481211</t>
  </si>
  <si>
    <t>Montáž výztužné sítě do stěrkového tmelu, včetně výztužné sítě a tmelu</t>
  </si>
  <si>
    <t>strojovna : 2*3,14*2,3*3,3</t>
  </si>
  <si>
    <t>Omítka stěn, silikonová, zrnitá 1,5 mm, sl.2</t>
  </si>
  <si>
    <t>Doplnění keramického obkladu v. 15 cm nad kamenným obkladem u podsvětlíku, včetně srovnání podkladu a dodávky nového obkladu</t>
  </si>
  <si>
    <t>Činnost koordinátora BOZP</t>
  </si>
  <si>
    <t xml:space="preserve">Činnost AD </t>
  </si>
  <si>
    <t>hod</t>
  </si>
  <si>
    <t>měsíc</t>
  </si>
  <si>
    <t>Vypracování dodavatelské dokumentace stavby v rozsahu dle požadavků v TZ</t>
  </si>
  <si>
    <t>Dobetonování atiky u kamenného obkladu, beton C 16/20, vyztužení 3%, bednění a odbednění, viz Detaily - v.č. 01, detail 01</t>
  </si>
  <si>
    <t>Dobetonování atiky u LOP, beton C 16/20, vyztužení 3%, bednění a odbednění, viz Detaily - v.č. 01, detail č. 02</t>
  </si>
  <si>
    <t>963053000</t>
  </si>
  <si>
    <t>Vybourání žlbt schodiště s podestou na východní fasádě, vč. odvozu a uložení suti na skládku</t>
  </si>
  <si>
    <t>Demontáž stávajících klempířských prvků fasády a střechy, vč. odvozu a likvidace vybour. hmot</t>
  </si>
  <si>
    <t>Dod.a montáž prostupu stropem, ocel. chránička D 150 mm, dl. 800 mm, včetně vyvrtání otvoru, kotvení, nátěru a dotěsnění beton. směsí, provedení podle popisu ve VZP - v.č.03, ozn. Z 12 a Detailů - v.č.01, detail 12</t>
  </si>
  <si>
    <t>900000025</t>
  </si>
  <si>
    <t>Správní poplatky za zábor veřejných ploch pro ZS</t>
  </si>
  <si>
    <t>900000026</t>
  </si>
  <si>
    <t>900000027</t>
  </si>
  <si>
    <t>900000028</t>
  </si>
  <si>
    <t>ZS - zázemí stavby, sklad, výtah, chemické WC, viz ZOV</t>
  </si>
  <si>
    <t>ZS - napojení ZS na vodovod a NN včetně samostatného měření</t>
  </si>
  <si>
    <t>ZS - dočasné plechové oplocení v. 2,0 m,  viz ZOV</t>
  </si>
  <si>
    <t>941941032R00</t>
  </si>
  <si>
    <t>Montáž lešení leh.řad.s podlahami, š.do 1 m, H 30 m</t>
  </si>
  <si>
    <t>941941192R00</t>
  </si>
  <si>
    <t>Příplatek za každý měsíc použití lešení k pol.1032</t>
  </si>
  <si>
    <t>941941832R00</t>
  </si>
  <si>
    <t>Demontáž lešení leh.řad.s podlahami, š. 1 m, H 30 m</t>
  </si>
  <si>
    <t>941955004R00</t>
  </si>
  <si>
    <t>Lešení lehké pomocné, výška podlahy do 3,5 m</t>
  </si>
  <si>
    <t>941955003R00</t>
  </si>
  <si>
    <t>Lešení lehké pomocné, výška podlahy do 2,5 m</t>
  </si>
  <si>
    <t>941955002R00</t>
  </si>
  <si>
    <t>Lešení lehké pomocné, výška podlahy do 1,9 m</t>
  </si>
  <si>
    <t>943955000</t>
  </si>
  <si>
    <t>Lešení pro demontáž světlíku a podsvětlíku a následné stavební práce, včetně případného zřízení horolezeckých úvazů</t>
  </si>
  <si>
    <t>Dočasné zakrytí otvoru po demontovaném světlíku proti propršení</t>
  </si>
  <si>
    <t>1</t>
  </si>
  <si>
    <t>2</t>
  </si>
  <si>
    <t>3</t>
  </si>
  <si>
    <t>4</t>
  </si>
  <si>
    <t>7</t>
  </si>
  <si>
    <t>8</t>
  </si>
  <si>
    <t>9</t>
  </si>
  <si>
    <t>10</t>
  </si>
  <si>
    <t>do 50 m : 25,2*4</t>
  </si>
  <si>
    <t>do 15 km  : 58,8*5</t>
  </si>
  <si>
    <t>11</t>
  </si>
  <si>
    <t>12</t>
  </si>
  <si>
    <t>13</t>
  </si>
  <si>
    <t>14</t>
  </si>
  <si>
    <t>15</t>
  </si>
  <si>
    <t>16</t>
  </si>
  <si>
    <t>998223011R00</t>
  </si>
  <si>
    <t>Přesun hmot, pozemní komunikace, kryt dlážděný</t>
  </si>
  <si>
    <t>17</t>
  </si>
  <si>
    <t>18</t>
  </si>
  <si>
    <t>19</t>
  </si>
  <si>
    <t>20</t>
  </si>
  <si>
    <t>dozdívky příček u obvod. pláště : 58,5*2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</si>
  <si>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</si>
  <si>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</si>
  <si>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</si>
  <si>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</si>
  <si>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</si>
  <si>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</si>
  <si>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</si>
  <si>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</si>
  <si>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</si>
  <si>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</si>
  <si>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</si>
  <si>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</si>
  <si>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</si>
  <si>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</si>
  <si>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</si>
  <si>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</si>
  <si>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</si>
  <si>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</si>
  <si>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</si>
  <si>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</si>
  <si>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</si>
  <si>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</si>
  <si>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</si>
  <si>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-((1,5*1,5)+(0,7*0,6))</t>
  </si>
  <si>
    <t>4.NP, pod KZS, předběžně tl. 20 mm : 335,38*4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</si>
  <si>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</si>
  <si>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</si>
  <si>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</si>
  <si>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</si>
  <si>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</si>
  <si>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</si>
  <si>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</si>
  <si>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</si>
  <si>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</si>
  <si>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</si>
  <si>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</si>
  <si>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</si>
  <si>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</si>
  <si>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</si>
  <si>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</si>
  <si>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</si>
  <si>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</si>
  <si>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</si>
  <si>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</si>
  <si>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</si>
  <si>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</si>
  <si>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</si>
  <si>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</si>
  <si>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</si>
  <si>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</si>
  <si>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</si>
  <si>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</si>
  <si>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</si>
  <si>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</si>
  <si>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</si>
  <si>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Demontáž žebříků ve 4.NP, vč. odvozu a likvidace</t>
  </si>
  <si>
    <t>979990111R00</t>
  </si>
  <si>
    <t>Poplatek za skládku suti - stavební keramika</t>
  </si>
  <si>
    <t>979990162R00</t>
  </si>
  <si>
    <t>Poplatek za skládku suti - dřevo+sklo</t>
  </si>
  <si>
    <t>979999999</t>
  </si>
  <si>
    <t>do 20 km : 72,1*19</t>
  </si>
  <si>
    <t>72,1*4</t>
  </si>
  <si>
    <t>Poplatek za skládku suti - beton, omítky</t>
  </si>
  <si>
    <t>979990103</t>
  </si>
  <si>
    <t>Vybourané kovové části</t>
  </si>
  <si>
    <t xml:space="preserve">Demontáž LOP z boletického panelu včetně ocel. rámu a odvoz a likvidace vybouraných hmot včetně azbestu dle platných legislativních úprav, včetně zajištění měření hodnot výskytu azbestu před, během i po dokončení stavby, podrobnosti a technologický postup viz TZ a ZOV. V průběhu manipulace s azbestem bude celý staveništní prostor (exteriér i interiér) vzduchotěsně a hermeticky uzavřen, přístup přes hygienickou smyčku se samostatným větráním. Funkčnost uzavření bude doložena atestem. </t>
  </si>
  <si>
    <t>74</t>
  </si>
  <si>
    <t>998276201R00</t>
  </si>
  <si>
    <t>Přesun hmot, trub. vedení plast., obsypaná kamenivem</t>
  </si>
  <si>
    <t>998711101R00</t>
  </si>
  <si>
    <t>Přesun hmot pro izolace proti vodě, výšky do 6 m</t>
  </si>
  <si>
    <t>998713101R00</t>
  </si>
  <si>
    <t>Přesun hmot pro izolace tepelné, výšky do 6 m</t>
  </si>
  <si>
    <t>Dod.a montáž ocelových rámů pro kotvení opláštění a osazení oken, podrobnosti viz Konstrukční část, kotvení ke stávajícím ocelovým platlím vč. jejich revize a případné opravy, součástí rámu je paždík pro nadpraží a parapet okna, vč. nátěru s vysokou životností (15-25 let).</t>
  </si>
  <si>
    <t>4.NP, pod KZS, předběžně 10% plochy : 335,38*0,1</t>
  </si>
  <si>
    <t>75</t>
  </si>
  <si>
    <t>622300141</t>
  </si>
  <si>
    <t>Montáž vyrovnávací vrstvy izolantem, včetně dodávky polystyrenu EPS 70 F tl. 20 mm</t>
  </si>
  <si>
    <t>Malba tekutá na omítku otěruvzdorná, bílá, 2 x</t>
  </si>
  <si>
    <t>Penetrace podkladu univerzální 1x</t>
  </si>
  <si>
    <t>Malba tekutá na sádrokarton otěruvzdorná, bílá, 2 x</t>
  </si>
  <si>
    <t>předběžně : 2100*3+550</t>
  </si>
  <si>
    <t>KRYCÍ LIST VÝKAZU VÝMĚR</t>
  </si>
  <si>
    <t>Výkaz výměr</t>
  </si>
  <si>
    <t>Nedílnou součástí výkazu výměr,pro správné a úplné ocenění nabízených výkonů a dodávek,je projektová dokumentace a technická zpráva,včetně všech podrobnějších popisů výrobků,materiálového a barevného řešení,včetně způsobu provádění</t>
  </si>
  <si>
    <t>Nabídková cena zahrnuje též podmínky daného staveniště,včetně vlivu požadovaných termínů realizace a smluvních podmínek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</si>
</sst>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0.0"/>
    <numFmt numFmtId="167" formatCode="#,##0\ &quot;Kč&quot;"/>
    <numFmt numFmtId="168" formatCode="dd/mm/yy"/>
    <numFmt numFmtId="169" formatCode="#,##0.000000"/>
  </numFmts>
  <fonts count="1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8"/>
      <color indexed="10"/>
      <name val="Arial CE"/>
      <family val="2"/>
    </font>
    <font>
      <sz val="10"/>
      <color indexed="8"/>
      <name val="Arial CE"/>
      <family val="2"/>
    </font>
    <font>
      <b/>
      <i/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sz val="8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3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93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4" fillId="2" borderId="5" xfId="0" applyNumberFormat="1" applyFont="1" applyFill="1" applyBorder="1"/>
    <xf numFmtId="49" fontId="0" fillId="2" borderId="6" xfId="0" applyNumberFormat="1" applyFill="1" applyBorder="1"/>
    <xf numFmtId="0" fontId="5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3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2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2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7" fontId="0" fillId="0" borderId="15" xfId="0" applyNumberFormat="1" applyBorder="1"/>
    <xf numFmtId="167" fontId="0" fillId="0" borderId="0" xfId="0" applyNumberFormat="1" applyBorder="1"/>
    <xf numFmtId="0" fontId="7" fillId="2" borderId="34" xfId="0" applyFont="1" applyFill="1" applyBorder="1"/>
    <xf numFmtId="0" fontId="7" fillId="2" borderId="35" xfId="0" applyFont="1" applyFill="1" applyBorder="1"/>
    <xf numFmtId="0" fontId="7" fillId="2" borderId="38" xfId="0" applyFont="1" applyFill="1" applyBorder="1"/>
    <xf numFmtId="167" fontId="7" fillId="2" borderId="35" xfId="0" applyNumberFormat="1" applyFont="1" applyFill="1" applyBorder="1"/>
    <xf numFmtId="0" fontId="7" fillId="2" borderId="39" xfId="0" applyFont="1" applyFill="1" applyBorder="1"/>
    <xf numFmtId="0" fontId="7" fillId="0" borderId="0" xfId="0" applyFont="1"/>
    <xf numFmtId="0" fontId="5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1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2" xfId="0" applyNumberFormat="1" applyBorder="1"/>
    <xf numFmtId="0" fontId="5" fillId="0" borderId="43" xfId="20" applyFont="1" applyBorder="1">
      <alignment/>
      <protection/>
    </xf>
    <xf numFmtId="0" fontId="0" fillId="0" borderId="43" xfId="20" applyBorder="1">
      <alignment/>
      <protection/>
    </xf>
    <xf numFmtId="0" fontId="0" fillId="0" borderId="43" xfId="20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2" fillId="3" borderId="21" xfId="0" applyNumberFormat="1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44" xfId="0" applyFont="1" applyFill="1" applyBorder="1"/>
    <xf numFmtId="0" fontId="2" fillId="3" borderId="45" xfId="0" applyFont="1" applyFill="1" applyBorder="1"/>
    <xf numFmtId="0" fontId="2" fillId="3" borderId="46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3" fontId="2" fillId="2" borderId="23" xfId="0" applyNumberFormat="1" applyFont="1" applyFill="1" applyBorder="1"/>
    <xf numFmtId="3" fontId="2" fillId="2" borderId="44" xfId="0" applyNumberFormat="1" applyFont="1" applyFill="1" applyBorder="1"/>
    <xf numFmtId="3" fontId="2" fillId="2" borderId="45" xfId="0" applyNumberFormat="1" applyFont="1" applyFill="1" applyBorder="1"/>
    <xf numFmtId="3" fontId="2" fillId="2" borderId="46" xfId="0" applyNumberFormat="1" applyFont="1" applyFill="1" applyBorder="1"/>
    <xf numFmtId="0" fontId="2" fillId="0" borderId="0" xfId="0" applyFont="1"/>
    <xf numFmtId="3" fontId="3" fillId="0" borderId="0" xfId="0" applyNumberFormat="1" applyFont="1" applyAlignment="1">
      <alignment horizontal="centerContinuous"/>
    </xf>
    <xf numFmtId="0" fontId="2" fillId="4" borderId="27" xfId="0" applyFont="1" applyFill="1" applyBorder="1"/>
    <xf numFmtId="0" fontId="2" fillId="4" borderId="28" xfId="0" applyFont="1" applyFill="1" applyBorder="1"/>
    <xf numFmtId="0" fontId="0" fillId="4" borderId="47" xfId="0" applyFill="1" applyBorder="1"/>
    <xf numFmtId="0" fontId="2" fillId="4" borderId="48" xfId="0" applyFont="1" applyFill="1" applyBorder="1" applyAlignment="1">
      <alignment horizontal="right"/>
    </xf>
    <xf numFmtId="0" fontId="2" fillId="4" borderId="28" xfId="0" applyFont="1" applyFill="1" applyBorder="1" applyAlignment="1">
      <alignment horizontal="right"/>
    </xf>
    <xf numFmtId="0" fontId="2" fillId="4" borderId="29" xfId="0" applyFont="1" applyFill="1" applyBorder="1" applyAlignment="1">
      <alignment horizontal="center"/>
    </xf>
    <xf numFmtId="4" fontId="6" fillId="4" borderId="28" xfId="0" applyNumberFormat="1" applyFont="1" applyFill="1" applyBorder="1" applyAlignment="1">
      <alignment horizontal="right"/>
    </xf>
    <xf numFmtId="4" fontId="6" fillId="4" borderId="47" xfId="0" applyNumberFormat="1" applyFont="1" applyFill="1" applyBorder="1" applyAlignment="1">
      <alignment horizontal="right"/>
    </xf>
    <xf numFmtId="0" fontId="0" fillId="0" borderId="32" xfId="0" applyFont="1" applyBorder="1"/>
    <xf numFmtId="0" fontId="0" fillId="0" borderId="25" xfId="0" applyFont="1" applyBorder="1"/>
    <xf numFmtId="0" fontId="0" fillId="0" borderId="49" xfId="0" applyFont="1" applyBorder="1"/>
    <xf numFmtId="3" fontId="0" fillId="0" borderId="31" xfId="0" applyNumberFormat="1" applyFont="1" applyBorder="1" applyAlignment="1">
      <alignment horizontal="right"/>
    </xf>
    <xf numFmtId="166" fontId="0" fillId="0" borderId="50" xfId="0" applyNumberFormat="1" applyFont="1" applyBorder="1" applyAlignment="1">
      <alignment horizontal="right"/>
    </xf>
    <xf numFmtId="3" fontId="0" fillId="0" borderId="51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0" fontId="0" fillId="2" borderId="34" xfId="0" applyFill="1" applyBorder="1"/>
    <xf numFmtId="0" fontId="2" fillId="2" borderId="35" xfId="0" applyFont="1" applyFill="1" applyBorder="1"/>
    <xf numFmtId="0" fontId="0" fillId="2" borderId="35" xfId="0" applyFill="1" applyBorder="1"/>
    <xf numFmtId="4" fontId="0" fillId="2" borderId="52" xfId="0" applyNumberFormat="1" applyFill="1" applyBorder="1"/>
    <xf numFmtId="4" fontId="0" fillId="2" borderId="34" xfId="0" applyNumberFormat="1" applyFill="1" applyBorder="1"/>
    <xf numFmtId="4" fontId="0" fillId="2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8" fillId="0" borderId="0" xfId="20" applyFont="1">
      <alignment/>
      <protection/>
    </xf>
    <xf numFmtId="168" fontId="0" fillId="0" borderId="0" xfId="0" applyNumberFormat="1" applyBorder="1" applyAlignment="1">
      <alignment horizontal="left"/>
    </xf>
    <xf numFmtId="169" fontId="8" fillId="0" borderId="0" xfId="20" applyNumberFormat="1" applyFont="1">
      <alignment/>
      <protection/>
    </xf>
    <xf numFmtId="4" fontId="8" fillId="0" borderId="0" xfId="20" applyNumberFormat="1" applyFont="1">
      <alignment/>
      <protection/>
    </xf>
    <xf numFmtId="0" fontId="9" fillId="0" borderId="0" xfId="0" applyNumberFormat="1" applyFont="1" applyBorder="1"/>
    <xf numFmtId="0" fontId="0" fillId="0" borderId="0" xfId="0" applyNumberFormat="1" applyBorder="1"/>
    <xf numFmtId="0" fontId="0" fillId="0" borderId="7" xfId="0" applyNumberFormat="1" applyFont="1" applyBorder="1"/>
    <xf numFmtId="0" fontId="9" fillId="0" borderId="5" xfId="0" applyNumberFormat="1" applyFont="1" applyBorder="1" applyAlignment="1">
      <alignment horizontal="left"/>
    </xf>
    <xf numFmtId="3" fontId="9" fillId="0" borderId="6" xfId="0" applyNumberFormat="1" applyFont="1" applyBorder="1"/>
    <xf numFmtId="3" fontId="9" fillId="0" borderId="53" xfId="0" applyNumberFormat="1" applyFont="1" applyBorder="1"/>
    <xf numFmtId="3" fontId="9" fillId="0" borderId="54" xfId="0" applyNumberFormat="1" applyFont="1" applyBorder="1"/>
    <xf numFmtId="169" fontId="10" fillId="0" borderId="0" xfId="20" applyNumberFormat="1" applyFont="1" applyAlignment="1">
      <alignment horizontal="right"/>
      <protection/>
    </xf>
    <xf numFmtId="0" fontId="9" fillId="0" borderId="0" xfId="0" applyFont="1" applyFill="1" applyBorder="1"/>
    <xf numFmtId="0" fontId="9" fillId="0" borderId="7" xfId="0" applyFont="1" applyFill="1" applyBorder="1"/>
    <xf numFmtId="0" fontId="9" fillId="0" borderId="0" xfId="0" applyFont="1" applyBorder="1"/>
    <xf numFmtId="0" fontId="9" fillId="0" borderId="0" xfId="0" applyNumberFormat="1" applyFont="1" applyFill="1" applyBorder="1"/>
    <xf numFmtId="3" fontId="9" fillId="0" borderId="6" xfId="0" applyNumberFormat="1" applyFont="1" applyFill="1" applyBorder="1"/>
    <xf numFmtId="3" fontId="9" fillId="0" borderId="53" xfId="0" applyNumberFormat="1" applyFont="1" applyFill="1" applyBorder="1"/>
    <xf numFmtId="3" fontId="9" fillId="0" borderId="54" xfId="0" applyNumberFormat="1" applyFont="1" applyFill="1" applyBorder="1"/>
    <xf numFmtId="166" fontId="11" fillId="0" borderId="11" xfId="0" applyNumberFormat="1" applyFont="1" applyBorder="1" applyAlignment="1">
      <alignment horizontal="right"/>
    </xf>
    <xf numFmtId="169" fontId="8" fillId="0" borderId="0" xfId="20" applyNumberFormat="1" applyFont="1" applyAlignment="1">
      <alignment horizontal="right"/>
      <protection/>
    </xf>
    <xf numFmtId="169" fontId="8" fillId="0" borderId="0" xfId="20" applyNumberFormat="1" applyFont="1" applyAlignment="1">
      <alignment/>
      <protection/>
    </xf>
    <xf numFmtId="4" fontId="8" fillId="0" borderId="0" xfId="20" applyNumberFormat="1" applyFont="1" applyAlignment="1">
      <alignment/>
      <protection/>
    </xf>
    <xf numFmtId="0" fontId="8" fillId="0" borderId="0" xfId="20" applyFont="1" applyAlignment="1">
      <alignment/>
      <protection/>
    </xf>
    <xf numFmtId="169" fontId="6" fillId="0" borderId="0" xfId="20" applyNumberFormat="1" applyFont="1" applyAlignment="1">
      <alignment horizontal="right"/>
      <protection/>
    </xf>
    <xf numFmtId="169" fontId="6" fillId="0" borderId="0" xfId="20" applyNumberFormat="1" applyFont="1" applyAlignment="1">
      <alignment/>
      <protection/>
    </xf>
    <xf numFmtId="4" fontId="6" fillId="0" borderId="0" xfId="20" applyNumberFormat="1" applyFont="1" applyAlignment="1">
      <alignment/>
      <protection/>
    </xf>
    <xf numFmtId="0" fontId="6" fillId="0" borderId="0" xfId="20" applyFont="1" applyAlignment="1">
      <alignment/>
      <protection/>
    </xf>
    <xf numFmtId="169" fontId="12" fillId="0" borderId="0" xfId="20" applyNumberFormat="1" applyFont="1" applyAlignment="1">
      <alignment horizontal="right"/>
      <protection/>
    </xf>
    <xf numFmtId="169" fontId="12" fillId="0" borderId="0" xfId="20" applyNumberFormat="1" applyFont="1" applyAlignment="1">
      <alignment/>
      <protection/>
    </xf>
    <xf numFmtId="4" fontId="12" fillId="0" borderId="0" xfId="20" applyNumberFormat="1" applyFont="1" applyAlignment="1">
      <alignment/>
      <protection/>
    </xf>
    <xf numFmtId="0" fontId="12" fillId="0" borderId="0" xfId="20" applyFont="1" applyAlignment="1">
      <alignment/>
      <protection/>
    </xf>
    <xf numFmtId="0" fontId="18" fillId="0" borderId="0" xfId="20" applyFont="1">
      <alignment/>
      <protection/>
    </xf>
    <xf numFmtId="0" fontId="18" fillId="0" borderId="0" xfId="20" applyFont="1" applyAlignment="1">
      <alignment horizontal="right"/>
      <protection/>
    </xf>
    <xf numFmtId="169" fontId="0" fillId="0" borderId="0" xfId="20" applyNumberFormat="1" applyFont="1" applyAlignment="1">
      <alignment horizontal="right"/>
      <protection/>
    </xf>
    <xf numFmtId="169" fontId="0" fillId="0" borderId="0" xfId="20" applyNumberFormat="1" applyFont="1">
      <alignment/>
      <protection/>
    </xf>
    <xf numFmtId="4" fontId="0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14" fillId="0" borderId="0" xfId="20" applyFont="1" applyAlignment="1">
      <alignment horizontal="centerContinuous"/>
      <protection/>
    </xf>
    <xf numFmtId="0" fontId="15" fillId="0" borderId="0" xfId="20" applyFont="1" applyAlignment="1">
      <alignment horizontal="centerContinuous"/>
      <protection/>
    </xf>
    <xf numFmtId="0" fontId="15" fillId="0" borderId="0" xfId="20" applyFont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1" xfId="20" applyFont="1" applyBorder="1" applyAlignment="1">
      <alignment horizontal="right"/>
      <protection/>
    </xf>
    <xf numFmtId="0" fontId="0" fillId="0" borderId="40" xfId="20" applyFont="1" applyBorder="1" applyAlignment="1">
      <alignment horizontal="left"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8" fillId="0" borderId="0" xfId="20" applyFont="1" applyAlignment="1">
      <alignment horizontal="right"/>
      <protection/>
    </xf>
    <xf numFmtId="49" fontId="8" fillId="3" borderId="55" xfId="20" applyNumberFormat="1" applyFont="1" applyFill="1" applyBorder="1">
      <alignment/>
      <protection/>
    </xf>
    <xf numFmtId="0" fontId="8" fillId="3" borderId="9" xfId="20" applyFont="1" applyFill="1" applyBorder="1" applyAlignment="1">
      <alignment horizontal="center"/>
      <protection/>
    </xf>
    <xf numFmtId="0" fontId="8" fillId="3" borderId="10" xfId="20" applyFont="1" applyFill="1" applyBorder="1" applyAlignment="1">
      <alignment horizontal="center"/>
      <protection/>
    </xf>
    <xf numFmtId="0" fontId="8" fillId="3" borderId="55" xfId="20" applyFont="1" applyFill="1" applyBorder="1" applyAlignment="1">
      <alignment horizontal="center"/>
      <protection/>
    </xf>
    <xf numFmtId="0" fontId="8" fillId="3" borderId="9" xfId="20" applyNumberFormat="1" applyFont="1" applyFill="1" applyBorder="1" applyAlignment="1">
      <alignment horizontal="center"/>
      <protection/>
    </xf>
    <xf numFmtId="169" fontId="6" fillId="0" borderId="0" xfId="20" applyNumberFormat="1" applyFont="1" applyFill="1" applyAlignment="1">
      <alignment horizontal="right"/>
      <protection/>
    </xf>
    <xf numFmtId="169" fontId="6" fillId="0" borderId="0" xfId="20" applyNumberFormat="1" applyFont="1" applyFill="1" applyAlignment="1">
      <alignment/>
      <protection/>
    </xf>
    <xf numFmtId="4" fontId="6" fillId="0" borderId="0" xfId="20" applyNumberFormat="1" applyFont="1" applyFill="1" applyAlignment="1">
      <alignment/>
      <protection/>
    </xf>
    <xf numFmtId="0" fontId="6" fillId="0" borderId="0" xfId="20" applyFont="1" applyFill="1" applyAlignment="1">
      <alignment/>
      <protection/>
    </xf>
    <xf numFmtId="169" fontId="8" fillId="0" borderId="0" xfId="20" applyNumberFormat="1" applyFont="1" applyFill="1" applyAlignment="1">
      <alignment horizontal="right"/>
      <protection/>
    </xf>
    <xf numFmtId="169" fontId="8" fillId="0" borderId="0" xfId="20" applyNumberFormat="1" applyFont="1" applyFill="1" applyAlignment="1">
      <alignment/>
      <protection/>
    </xf>
    <xf numFmtId="4" fontId="8" fillId="0" borderId="0" xfId="20" applyNumberFormat="1" applyFont="1" applyFill="1" applyAlignment="1">
      <alignment/>
      <protection/>
    </xf>
    <xf numFmtId="0" fontId="8" fillId="0" borderId="0" xfId="20" applyFont="1" applyFill="1" applyAlignment="1">
      <alignment/>
      <protection/>
    </xf>
    <xf numFmtId="169" fontId="12" fillId="0" borderId="0" xfId="20" applyNumberFormat="1" applyFont="1" applyFill="1" applyAlignment="1">
      <alignment horizontal="right"/>
      <protection/>
    </xf>
    <xf numFmtId="169" fontId="12" fillId="0" borderId="0" xfId="20" applyNumberFormat="1" applyFont="1" applyFill="1" applyAlignment="1">
      <alignment/>
      <protection/>
    </xf>
    <xf numFmtId="4" fontId="12" fillId="0" borderId="0" xfId="20" applyNumberFormat="1" applyFont="1" applyFill="1" applyAlignment="1">
      <alignment/>
      <protection/>
    </xf>
    <xf numFmtId="0" fontId="12" fillId="0" borderId="0" xfId="20" applyFont="1" applyFill="1" applyAlignment="1">
      <alignment/>
      <protection/>
    </xf>
    <xf numFmtId="169" fontId="6" fillId="0" borderId="0" xfId="20" applyNumberFormat="1" applyFont="1">
      <alignment/>
      <protection/>
    </xf>
    <xf numFmtId="4" fontId="6" fillId="0" borderId="0" xfId="20" applyNumberFormat="1" applyFont="1">
      <alignment/>
      <protection/>
    </xf>
    <xf numFmtId="0" fontId="6" fillId="0" borderId="0" xfId="20" applyFont="1">
      <alignment/>
      <protection/>
    </xf>
    <xf numFmtId="169" fontId="9" fillId="0" borderId="0" xfId="20" applyNumberFormat="1" applyFont="1" applyAlignment="1">
      <alignment horizontal="right"/>
      <protection/>
    </xf>
    <xf numFmtId="169" fontId="9" fillId="0" borderId="0" xfId="20" applyNumberFormat="1" applyFont="1" applyAlignment="1">
      <alignment/>
      <protection/>
    </xf>
    <xf numFmtId="169" fontId="16" fillId="0" borderId="0" xfId="20" applyNumberFormat="1" applyFont="1" applyAlignment="1">
      <alignment horizontal="right"/>
      <protection/>
    </xf>
    <xf numFmtId="169" fontId="16" fillId="0" borderId="0" xfId="20" applyNumberFormat="1" applyFont="1" applyAlignment="1">
      <alignment/>
      <protection/>
    </xf>
    <xf numFmtId="169" fontId="8" fillId="0" borderId="0" xfId="20" applyNumberFormat="1" applyFont="1" applyAlignment="1">
      <alignment horizontal="right"/>
      <protection/>
    </xf>
    <xf numFmtId="169" fontId="8" fillId="0" borderId="0" xfId="20" applyNumberFormat="1" applyFont="1" applyAlignment="1">
      <alignment/>
      <protection/>
    </xf>
    <xf numFmtId="4" fontId="8" fillId="0" borderId="0" xfId="20" applyNumberFormat="1" applyFont="1" applyAlignment="1">
      <alignment/>
      <protection/>
    </xf>
    <xf numFmtId="0" fontId="8" fillId="0" borderId="0" xfId="20" applyFont="1" applyAlignment="1">
      <alignment/>
      <protection/>
    </xf>
    <xf numFmtId="0" fontId="17" fillId="0" borderId="0" xfId="20" applyFont="1" applyFill="1" applyBorder="1" applyAlignment="1">
      <alignment/>
      <protection/>
    </xf>
    <xf numFmtId="169" fontId="17" fillId="0" borderId="0" xfId="20" applyNumberFormat="1" applyFont="1" applyAlignment="1">
      <alignment horizontal="right"/>
      <protection/>
    </xf>
    <xf numFmtId="169" fontId="17" fillId="0" borderId="0" xfId="20" applyNumberFormat="1" applyFont="1" applyAlignment="1">
      <alignment/>
      <protection/>
    </xf>
    <xf numFmtId="4" fontId="17" fillId="0" borderId="0" xfId="20" applyNumberFormat="1" applyFont="1" applyAlignment="1">
      <alignment/>
      <protection/>
    </xf>
    <xf numFmtId="0" fontId="17" fillId="0" borderId="0" xfId="20" applyFont="1" applyAlignment="1">
      <alignment/>
      <protection/>
    </xf>
    <xf numFmtId="169" fontId="6" fillId="0" borderId="0" xfId="20" applyNumberFormat="1" applyFont="1" applyAlignment="1">
      <alignment horizontal="right"/>
      <protection/>
    </xf>
    <xf numFmtId="169" fontId="6" fillId="0" borderId="0" xfId="20" applyNumberFormat="1" applyFont="1" applyAlignment="1">
      <alignment/>
      <protection/>
    </xf>
    <xf numFmtId="4" fontId="6" fillId="0" borderId="0" xfId="20" applyNumberFormat="1" applyFont="1" applyAlignment="1">
      <alignment/>
      <protection/>
    </xf>
    <xf numFmtId="0" fontId="6" fillId="0" borderId="0" xfId="20" applyFont="1" applyAlignment="1">
      <alignment/>
      <protection/>
    </xf>
    <xf numFmtId="169" fontId="8" fillId="0" borderId="0" xfId="20" applyNumberFormat="1" applyFont="1" applyFill="1" applyAlignment="1">
      <alignment horizontal="right"/>
      <protection/>
    </xf>
    <xf numFmtId="169" fontId="8" fillId="0" borderId="0" xfId="20" applyNumberFormat="1" applyFont="1" applyFill="1" applyAlignment="1">
      <alignment/>
      <protection/>
    </xf>
    <xf numFmtId="4" fontId="8" fillId="0" borderId="0" xfId="20" applyNumberFormat="1" applyFont="1" applyFill="1" applyAlignment="1">
      <alignment/>
      <protection/>
    </xf>
    <xf numFmtId="0" fontId="8" fillId="0" borderId="0" xfId="20" applyFont="1" applyFill="1" applyAlignment="1">
      <alignment/>
      <protection/>
    </xf>
    <xf numFmtId="169" fontId="6" fillId="0" borderId="0" xfId="20" applyNumberFormat="1" applyFont="1" applyFill="1" applyAlignment="1">
      <alignment horizontal="right"/>
      <protection/>
    </xf>
    <xf numFmtId="169" fontId="6" fillId="0" borderId="0" xfId="20" applyNumberFormat="1" applyFont="1" applyFill="1" applyAlignment="1">
      <alignment/>
      <protection/>
    </xf>
    <xf numFmtId="4" fontId="6" fillId="0" borderId="0" xfId="20" applyNumberFormat="1" applyFont="1" applyFill="1" applyAlignment="1">
      <alignment/>
      <protection/>
    </xf>
    <xf numFmtId="0" fontId="6" fillId="0" borderId="0" xfId="20" applyFont="1" applyFill="1" applyAlignment="1">
      <alignment/>
      <protection/>
    </xf>
    <xf numFmtId="169" fontId="12" fillId="0" borderId="0" xfId="20" applyNumberFormat="1" applyFont="1" applyFill="1" applyAlignment="1">
      <alignment horizontal="right"/>
      <protection/>
    </xf>
    <xf numFmtId="169" fontId="12" fillId="0" borderId="0" xfId="20" applyNumberFormat="1" applyFont="1" applyFill="1" applyAlignment="1">
      <alignment/>
      <protection/>
    </xf>
    <xf numFmtId="4" fontId="12" fillId="0" borderId="0" xfId="20" applyNumberFormat="1" applyFont="1" applyFill="1" applyAlignment="1">
      <alignment/>
      <protection/>
    </xf>
    <xf numFmtId="0" fontId="12" fillId="0" borderId="0" xfId="20" applyFont="1" applyFill="1" applyAlignment="1">
      <alignment/>
      <protection/>
    </xf>
    <xf numFmtId="169" fontId="17" fillId="0" borderId="0" xfId="20" applyNumberFormat="1" applyFont="1" applyFill="1" applyAlignment="1">
      <alignment horizontal="right"/>
      <protection/>
    </xf>
    <xf numFmtId="169" fontId="17" fillId="0" borderId="0" xfId="20" applyNumberFormat="1" applyFont="1" applyFill="1" applyAlignment="1">
      <alignment/>
      <protection/>
    </xf>
    <xf numFmtId="4" fontId="17" fillId="0" borderId="0" xfId="20" applyNumberFormat="1" applyFont="1" applyFill="1" applyAlignment="1">
      <alignment/>
      <protection/>
    </xf>
    <xf numFmtId="0" fontId="17" fillId="0" borderId="0" xfId="20" applyFont="1" applyFill="1" applyAlignment="1">
      <alignment/>
      <protection/>
    </xf>
    <xf numFmtId="49" fontId="17" fillId="0" borderId="0" xfId="20" applyNumberFormat="1" applyFont="1" applyFill="1" applyBorder="1" applyAlignment="1">
      <alignment/>
      <protection/>
    </xf>
    <xf numFmtId="169" fontId="9" fillId="0" borderId="0" xfId="20" applyNumberFormat="1" applyFont="1" applyAlignment="1">
      <alignment horizontal="right"/>
      <protection/>
    </xf>
    <xf numFmtId="169" fontId="9" fillId="0" borderId="0" xfId="20" applyNumberFormat="1" applyFont="1" applyAlignment="1">
      <alignment/>
      <protection/>
    </xf>
    <xf numFmtId="0" fontId="0" fillId="0" borderId="0" xfId="0" applyFont="1"/>
    <xf numFmtId="0" fontId="6" fillId="0" borderId="53" xfId="20" applyFont="1" applyFill="1" applyBorder="1" applyAlignment="1">
      <alignment/>
      <protection/>
    </xf>
    <xf numFmtId="49" fontId="6" fillId="0" borderId="53" xfId="20" applyNumberFormat="1" applyFont="1" applyFill="1" applyBorder="1" applyAlignment="1">
      <alignment/>
      <protection/>
    </xf>
    <xf numFmtId="0" fontId="6" fillId="0" borderId="53" xfId="20" applyFont="1" applyFill="1" applyBorder="1" applyAlignment="1">
      <alignment horizontal="center"/>
      <protection/>
    </xf>
    <xf numFmtId="4" fontId="6" fillId="0" borderId="53" xfId="20" applyNumberFormat="1" applyFont="1" applyFill="1" applyBorder="1" applyAlignment="1">
      <alignment horizontal="right"/>
      <protection/>
    </xf>
    <xf numFmtId="0" fontId="8" fillId="0" borderId="53" xfId="20" applyFont="1" applyFill="1" applyBorder="1" applyAlignment="1">
      <alignment/>
      <protection/>
    </xf>
    <xf numFmtId="49" fontId="8" fillId="0" borderId="53" xfId="20" applyNumberFormat="1" applyFont="1" applyFill="1" applyBorder="1" applyAlignment="1">
      <alignment/>
      <protection/>
    </xf>
    <xf numFmtId="0" fontId="8" fillId="0" borderId="0" xfId="20" applyFont="1" applyFill="1" applyBorder="1" applyAlignment="1">
      <alignment/>
      <protection/>
    </xf>
    <xf numFmtId="0" fontId="8" fillId="0" borderId="53" xfId="20" applyFont="1" applyFill="1" applyBorder="1" applyAlignment="1">
      <alignment horizontal="center"/>
      <protection/>
    </xf>
    <xf numFmtId="4" fontId="8" fillId="0" borderId="0" xfId="20" applyNumberFormat="1" applyFont="1" applyFill="1" applyBorder="1" applyAlignment="1">
      <alignment horizontal="right"/>
      <protection/>
    </xf>
    <xf numFmtId="4" fontId="8" fillId="0" borderId="53" xfId="20" applyNumberFormat="1" applyFont="1" applyFill="1" applyBorder="1" applyAlignment="1">
      <alignment horizontal="right"/>
      <protection/>
    </xf>
    <xf numFmtId="0" fontId="12" fillId="2" borderId="13" xfId="20" applyFont="1" applyFill="1" applyBorder="1" applyAlignment="1">
      <alignment/>
      <protection/>
    </xf>
    <xf numFmtId="0" fontId="12" fillId="2" borderId="0" xfId="20" applyFont="1" applyFill="1" applyBorder="1" applyAlignment="1">
      <alignment/>
      <protection/>
    </xf>
    <xf numFmtId="0" fontId="12" fillId="2" borderId="0" xfId="20" applyFont="1" applyFill="1" applyBorder="1" applyAlignment="1">
      <alignment horizontal="center"/>
      <protection/>
    </xf>
    <xf numFmtId="4" fontId="12" fillId="2" borderId="0" xfId="20" applyNumberFormat="1" applyFont="1" applyFill="1" applyBorder="1" applyAlignment="1">
      <alignment horizontal="right"/>
      <protection/>
    </xf>
    <xf numFmtId="4" fontId="12" fillId="2" borderId="6" xfId="20" applyNumberFormat="1" applyFont="1" applyFill="1" applyBorder="1" applyAlignment="1">
      <alignment horizontal="right"/>
      <protection/>
    </xf>
    <xf numFmtId="49" fontId="8" fillId="0" borderId="0" xfId="20" applyNumberFormat="1" applyFont="1" applyFill="1" applyBorder="1" applyAlignment="1">
      <alignment vertical="top"/>
      <protection/>
    </xf>
    <xf numFmtId="0" fontId="8" fillId="0" borderId="53" xfId="20" applyFont="1" applyFill="1" applyBorder="1" applyAlignment="1">
      <alignment vertical="justify"/>
      <protection/>
    </xf>
    <xf numFmtId="49" fontId="8" fillId="0" borderId="0" xfId="20" applyNumberFormat="1" applyFont="1" applyFill="1" applyBorder="1" applyAlignment="1">
      <alignment/>
      <protection/>
    </xf>
    <xf numFmtId="0" fontId="17" fillId="0" borderId="53" xfId="20" applyFont="1" applyFill="1" applyBorder="1" applyAlignment="1">
      <alignment/>
      <protection/>
    </xf>
    <xf numFmtId="49" fontId="17" fillId="0" borderId="53" xfId="20" applyNumberFormat="1" applyFont="1" applyFill="1" applyBorder="1" applyAlignment="1">
      <alignment/>
      <protection/>
    </xf>
    <xf numFmtId="0" fontId="17" fillId="0" borderId="53" xfId="20" applyFont="1" applyFill="1" applyBorder="1" applyAlignment="1">
      <alignment horizontal="center"/>
      <protection/>
    </xf>
    <xf numFmtId="4" fontId="17" fillId="0" borderId="0" xfId="20" applyNumberFormat="1" applyFont="1" applyFill="1" applyBorder="1" applyAlignment="1">
      <alignment horizontal="right"/>
      <protection/>
    </xf>
    <xf numFmtId="4" fontId="17" fillId="0" borderId="53" xfId="20" applyNumberFormat="1" applyFont="1" applyFill="1" applyBorder="1" applyAlignment="1">
      <alignment horizontal="right"/>
      <protection/>
    </xf>
    <xf numFmtId="49" fontId="6" fillId="0" borderId="53" xfId="20" applyNumberFormat="1" applyFont="1" applyFill="1" applyBorder="1" applyAlignment="1">
      <alignment horizontal="left"/>
      <protection/>
    </xf>
    <xf numFmtId="0" fontId="6" fillId="0" borderId="0" xfId="20" applyFont="1" applyFill="1" applyBorder="1" applyAlignment="1">
      <alignment/>
      <protection/>
    </xf>
    <xf numFmtId="49" fontId="8" fillId="0" borderId="53" xfId="20" applyNumberFormat="1" applyFont="1" applyFill="1" applyBorder="1" applyAlignment="1">
      <alignment horizontal="left"/>
      <protection/>
    </xf>
    <xf numFmtId="49" fontId="17" fillId="0" borderId="53" xfId="20" applyNumberFormat="1" applyFont="1" applyFill="1" applyBorder="1" applyAlignment="1">
      <alignment horizontal="left"/>
      <protection/>
    </xf>
    <xf numFmtId="0" fontId="8" fillId="0" borderId="53" xfId="20" applyFont="1" applyFill="1" applyBorder="1" applyAlignment="1">
      <alignment horizontal="center"/>
      <protection/>
    </xf>
    <xf numFmtId="4" fontId="8" fillId="0" borderId="0" xfId="20" applyNumberFormat="1" applyFont="1" applyFill="1" applyBorder="1" applyAlignment="1">
      <alignment horizontal="right"/>
      <protection/>
    </xf>
    <xf numFmtId="4" fontId="8" fillId="0" borderId="53" xfId="20" applyNumberFormat="1" applyFont="1" applyFill="1" applyBorder="1" applyAlignment="1">
      <alignment horizontal="right"/>
      <protection/>
    </xf>
    <xf numFmtId="0" fontId="8" fillId="0" borderId="53" xfId="20" applyFont="1" applyFill="1" applyBorder="1" applyAlignment="1">
      <alignment vertical="justify"/>
      <protection/>
    </xf>
    <xf numFmtId="0" fontId="8" fillId="0" borderId="53" xfId="20" applyFont="1" applyFill="1" applyBorder="1" applyAlignment="1">
      <alignment vertical="top"/>
      <protection/>
    </xf>
    <xf numFmtId="49" fontId="8" fillId="0" borderId="53" xfId="20" applyNumberFormat="1" applyFont="1" applyFill="1" applyBorder="1" applyAlignment="1">
      <alignment vertical="top"/>
      <protection/>
    </xf>
    <xf numFmtId="0" fontId="17" fillId="0" borderId="0" xfId="20" applyFont="1" applyFill="1" applyBorder="1" applyAlignment="1">
      <alignment vertical="justify"/>
      <protection/>
    </xf>
    <xf numFmtId="0" fontId="17" fillId="0" borderId="53" xfId="20" applyFont="1" applyFill="1" applyBorder="1" applyAlignment="1">
      <alignment vertical="justify"/>
      <protection/>
    </xf>
    <xf numFmtId="0" fontId="8" fillId="0" borderId="0" xfId="20" applyFont="1" applyFill="1" applyBorder="1" applyAlignment="1">
      <alignment vertical="justify"/>
      <protection/>
    </xf>
    <xf numFmtId="49" fontId="8" fillId="0" borderId="53" xfId="20" applyNumberFormat="1" applyFont="1" applyFill="1" applyBorder="1" applyAlignment="1">
      <alignment vertical="top"/>
      <protection/>
    </xf>
    <xf numFmtId="0" fontId="8" fillId="0" borderId="0" xfId="20" applyFont="1" applyFill="1" applyBorder="1" applyAlignment="1">
      <alignment vertical="justify"/>
      <protection/>
    </xf>
    <xf numFmtId="49" fontId="8" fillId="0" borderId="53" xfId="20" applyNumberFormat="1" applyFont="1" applyFill="1" applyBorder="1" applyAlignment="1">
      <alignment horizontal="left" vertical="top"/>
      <protection/>
    </xf>
    <xf numFmtId="49" fontId="17" fillId="0" borderId="0" xfId="20" applyNumberFormat="1" applyFont="1" applyFill="1" applyBorder="1" applyAlignment="1">
      <alignment vertical="justify"/>
      <protection/>
    </xf>
    <xf numFmtId="49" fontId="8" fillId="0" borderId="0" xfId="20" applyNumberFormat="1" applyFont="1" applyFill="1" applyBorder="1" applyAlignment="1">
      <alignment vertical="justify"/>
      <protection/>
    </xf>
    <xf numFmtId="49" fontId="6" fillId="0" borderId="6" xfId="20" applyNumberFormat="1" applyFont="1" applyFill="1" applyBorder="1" applyAlignment="1">
      <alignment horizontal="left"/>
      <protection/>
    </xf>
    <xf numFmtId="4" fontId="6" fillId="0" borderId="6" xfId="20" applyNumberFormat="1" applyFont="1" applyFill="1" applyBorder="1" applyAlignment="1">
      <alignment horizontal="right"/>
      <protection/>
    </xf>
    <xf numFmtId="49" fontId="17" fillId="0" borderId="53" xfId="20" applyNumberFormat="1" applyFont="1" applyFill="1" applyBorder="1" applyAlignment="1">
      <alignment horizontal="center"/>
      <protection/>
    </xf>
    <xf numFmtId="49" fontId="17" fillId="0" borderId="6" xfId="20" applyNumberFormat="1" applyFont="1" applyFill="1" applyBorder="1" applyAlignment="1">
      <alignment horizontal="left"/>
      <protection/>
    </xf>
    <xf numFmtId="0" fontId="17" fillId="0" borderId="0" xfId="20" applyFont="1" applyFill="1" applyBorder="1" applyAlignment="1">
      <alignment vertical="justify"/>
      <protection/>
    </xf>
    <xf numFmtId="0" fontId="17" fillId="0" borderId="53" xfId="20" applyFont="1" applyFill="1" applyBorder="1" applyAlignment="1">
      <alignment horizontal="center"/>
      <protection/>
    </xf>
    <xf numFmtId="4" fontId="17" fillId="0" borderId="6" xfId="20" applyNumberFormat="1" applyFont="1" applyFill="1" applyBorder="1" applyAlignment="1">
      <alignment horizontal="right"/>
      <protection/>
    </xf>
    <xf numFmtId="4" fontId="17" fillId="0" borderId="53" xfId="20" applyNumberFormat="1" applyFont="1" applyFill="1" applyBorder="1" applyAlignment="1">
      <alignment horizontal="right"/>
      <protection/>
    </xf>
    <xf numFmtId="169" fontId="17" fillId="0" borderId="0" xfId="20" applyNumberFormat="1" applyFont="1" applyAlignment="1">
      <alignment horizontal="right"/>
      <protection/>
    </xf>
    <xf numFmtId="169" fontId="17" fillId="0" borderId="0" xfId="20" applyNumberFormat="1" applyFont="1" applyAlignment="1">
      <alignment/>
      <protection/>
    </xf>
    <xf numFmtId="4" fontId="17" fillId="0" borderId="0" xfId="20" applyNumberFormat="1" applyFont="1" applyAlignment="1">
      <alignment/>
      <protection/>
    </xf>
    <xf numFmtId="0" fontId="17" fillId="0" borderId="0" xfId="20" applyFont="1" applyAlignment="1">
      <alignment/>
      <protection/>
    </xf>
    <xf numFmtId="0" fontId="17" fillId="0" borderId="0" xfId="20" applyFont="1" applyFill="1" applyBorder="1" applyAlignment="1">
      <alignment/>
      <protection/>
    </xf>
    <xf numFmtId="49" fontId="12" fillId="2" borderId="13" xfId="20" applyNumberFormat="1" applyFont="1" applyFill="1" applyBorder="1" applyAlignment="1">
      <alignment/>
      <protection/>
    </xf>
    <xf numFmtId="0" fontId="12" fillId="2" borderId="0" xfId="20" applyFont="1" applyFill="1" applyBorder="1" applyAlignment="1">
      <alignment horizontal="left"/>
      <protection/>
    </xf>
    <xf numFmtId="0" fontId="12" fillId="2" borderId="0" xfId="20" applyNumberFormat="1" applyFont="1" applyFill="1" applyBorder="1" applyAlignment="1">
      <alignment horizontal="center"/>
      <protection/>
    </xf>
    <xf numFmtId="49" fontId="8" fillId="0" borderId="6" xfId="20" applyNumberFormat="1" applyFont="1" applyFill="1" applyBorder="1" applyAlignment="1">
      <alignment horizontal="left" vertical="top"/>
      <protection/>
    </xf>
    <xf numFmtId="4" fontId="8" fillId="0" borderId="6" xfId="20" applyNumberFormat="1" applyFont="1" applyFill="1" applyBorder="1" applyAlignment="1">
      <alignment horizontal="right"/>
      <protection/>
    </xf>
    <xf numFmtId="49" fontId="8" fillId="0" borderId="6" xfId="20" applyNumberFormat="1" applyFont="1" applyFill="1" applyBorder="1" applyAlignment="1">
      <alignment horizontal="left"/>
      <protection/>
    </xf>
    <xf numFmtId="0" fontId="6" fillId="0" borderId="53" xfId="20" applyFont="1" applyFill="1" applyBorder="1" applyAlignment="1">
      <alignment horizontal="left"/>
      <protection/>
    </xf>
    <xf numFmtId="4" fontId="6" fillId="0" borderId="53" xfId="20" applyNumberFormat="1" applyFont="1" applyFill="1" applyBorder="1" applyAlignment="1">
      <alignment/>
      <protection/>
    </xf>
    <xf numFmtId="0" fontId="8" fillId="0" borderId="53" xfId="20" applyFont="1" applyFill="1" applyBorder="1" applyAlignment="1">
      <alignment horizontal="left"/>
      <protection/>
    </xf>
    <xf numFmtId="4" fontId="8" fillId="0" borderId="53" xfId="20" applyNumberFormat="1" applyFont="1" applyFill="1" applyBorder="1" applyAlignment="1">
      <alignment/>
      <protection/>
    </xf>
    <xf numFmtId="0" fontId="12" fillId="2" borderId="0" xfId="20" applyFont="1" applyFill="1" applyBorder="1" applyAlignment="1">
      <alignment horizontal="right"/>
      <protection/>
    </xf>
    <xf numFmtId="0" fontId="8" fillId="0" borderId="53" xfId="20" applyFont="1" applyFill="1" applyBorder="1" applyAlignment="1">
      <alignment horizontal="left" vertical="top"/>
      <protection/>
    </xf>
    <xf numFmtId="0" fontId="17" fillId="0" borderId="53" xfId="20" applyFont="1" applyFill="1" applyBorder="1" applyAlignment="1">
      <alignment horizontal="left"/>
      <protection/>
    </xf>
    <xf numFmtId="4" fontId="17" fillId="0" borderId="53" xfId="20" applyNumberFormat="1" applyFont="1" applyFill="1" applyBorder="1" applyAlignment="1">
      <alignment/>
      <protection/>
    </xf>
    <xf numFmtId="0" fontId="17" fillId="0" borderId="53" xfId="20" applyFont="1" applyFill="1" applyBorder="1" applyAlignment="1">
      <alignment/>
      <protection/>
    </xf>
    <xf numFmtId="169" fontId="17" fillId="0" borderId="0" xfId="20" applyNumberFormat="1" applyFont="1" applyFill="1" applyAlignment="1">
      <alignment horizontal="right"/>
      <protection/>
    </xf>
    <xf numFmtId="169" fontId="17" fillId="0" borderId="0" xfId="20" applyNumberFormat="1" applyFont="1" applyFill="1" applyAlignment="1">
      <alignment/>
      <protection/>
    </xf>
    <xf numFmtId="4" fontId="17" fillId="0" borderId="0" xfId="20" applyNumberFormat="1" applyFont="1" applyFill="1" applyAlignment="1">
      <alignment/>
      <protection/>
    </xf>
    <xf numFmtId="0" fontId="17" fillId="0" borderId="0" xfId="20" applyFont="1" applyFill="1" applyAlignment="1">
      <alignment/>
      <protection/>
    </xf>
    <xf numFmtId="4" fontId="9" fillId="0" borderId="53" xfId="20" applyNumberFormat="1" applyFont="1" applyFill="1" applyBorder="1" applyAlignment="1">
      <alignment/>
      <protection/>
    </xf>
    <xf numFmtId="4" fontId="8" fillId="0" borderId="53" xfId="20" applyNumberFormat="1" applyFont="1" applyFill="1" applyBorder="1" applyAlignment="1">
      <alignment/>
      <protection/>
    </xf>
    <xf numFmtId="0" fontId="8" fillId="0" borderId="53" xfId="20" applyFont="1" applyFill="1" applyBorder="1" applyAlignment="1">
      <alignment horizontal="left"/>
      <protection/>
    </xf>
    <xf numFmtId="0" fontId="8" fillId="0" borderId="0" xfId="20" applyFont="1" applyFill="1" applyBorder="1" applyAlignment="1">
      <alignment/>
      <protection/>
    </xf>
    <xf numFmtId="0" fontId="8" fillId="0" borderId="53" xfId="20" applyFont="1" applyFill="1" applyBorder="1" applyAlignment="1">
      <alignment horizontal="center" vertical="top"/>
      <protection/>
    </xf>
    <xf numFmtId="0" fontId="8" fillId="0" borderId="53" xfId="20" applyFont="1" applyFill="1" applyBorder="1" applyAlignment="1">
      <alignment horizontal="left" vertical="top"/>
      <protection/>
    </xf>
    <xf numFmtId="0" fontId="8" fillId="0" borderId="53" xfId="20" applyFont="1" applyFill="1" applyBorder="1" applyAlignment="1">
      <alignment/>
      <protection/>
    </xf>
    <xf numFmtId="49" fontId="8" fillId="0" borderId="53" xfId="20" applyNumberFormat="1" applyFont="1" applyFill="1" applyBorder="1" applyAlignment="1">
      <alignment horizontal="left" vertical="top"/>
      <protection/>
    </xf>
    <xf numFmtId="0" fontId="17" fillId="0" borderId="53" xfId="20" applyFont="1" applyFill="1" applyBorder="1" applyAlignment="1">
      <alignment horizontal="left"/>
      <protection/>
    </xf>
    <xf numFmtId="4" fontId="17" fillId="0" borderId="53" xfId="20" applyNumberFormat="1" applyFont="1" applyFill="1" applyBorder="1" applyAlignment="1">
      <alignment/>
      <protection/>
    </xf>
    <xf numFmtId="0" fontId="17" fillId="0" borderId="53" xfId="20" applyFont="1" applyFill="1" applyBorder="1" applyAlignment="1">
      <alignment vertical="justify"/>
      <protection/>
    </xf>
    <xf numFmtId="49" fontId="8" fillId="0" borderId="53" xfId="20" applyNumberFormat="1" applyFont="1" applyFill="1" applyBorder="1" applyAlignment="1">
      <alignment horizontal="left" vertical="justify"/>
      <protection/>
    </xf>
    <xf numFmtId="4" fontId="8" fillId="0" borderId="0" xfId="20" applyNumberFormat="1" applyFont="1" applyAlignment="1">
      <alignment vertical="justify"/>
      <protection/>
    </xf>
    <xf numFmtId="0" fontId="8" fillId="0" borderId="0" xfId="20" applyFont="1" applyAlignment="1">
      <alignment vertical="justify"/>
      <protection/>
    </xf>
    <xf numFmtId="49" fontId="8" fillId="0" borderId="53" xfId="20" applyNumberFormat="1" applyFont="1" applyFill="1" applyBorder="1" applyAlignment="1">
      <alignment horizontal="center" vertical="justify"/>
      <protection/>
    </xf>
    <xf numFmtId="0" fontId="8" fillId="0" borderId="53" xfId="20" applyFont="1" applyFill="1" applyBorder="1" applyAlignment="1">
      <alignment horizontal="left" vertical="justify"/>
      <protection/>
    </xf>
    <xf numFmtId="49" fontId="8" fillId="0" borderId="53" xfId="20" applyNumberFormat="1" applyFont="1" applyFill="1" applyBorder="1" applyAlignment="1">
      <alignment horizontal="center"/>
      <protection/>
    </xf>
    <xf numFmtId="49" fontId="8" fillId="0" borderId="6" xfId="20" applyNumberFormat="1" applyFont="1" applyFill="1" applyBorder="1" applyAlignment="1">
      <alignment horizontal="left"/>
      <protection/>
    </xf>
    <xf numFmtId="49" fontId="8" fillId="0" borderId="53" xfId="20" applyNumberFormat="1" applyFont="1" applyFill="1" applyBorder="1" applyAlignment="1">
      <alignment horizontal="center" vertical="top"/>
      <protection/>
    </xf>
    <xf numFmtId="49" fontId="8" fillId="0" borderId="6" xfId="20" applyNumberFormat="1" applyFont="1" applyFill="1" applyBorder="1" applyAlignment="1">
      <alignment horizontal="left" vertical="top"/>
      <protection/>
    </xf>
    <xf numFmtId="4" fontId="8" fillId="0" borderId="6" xfId="20" applyNumberFormat="1" applyFont="1" applyFill="1" applyBorder="1" applyAlignment="1">
      <alignment horizontal="right"/>
      <protection/>
    </xf>
    <xf numFmtId="4" fontId="12" fillId="2" borderId="6" xfId="20" applyNumberFormat="1" applyFont="1" applyFill="1" applyBorder="1" applyAlignment="1">
      <alignment/>
      <protection/>
    </xf>
    <xf numFmtId="169" fontId="12" fillId="0" borderId="0" xfId="20" applyNumberFormat="1" applyFont="1" applyAlignment="1">
      <alignment horizontal="right"/>
      <protection/>
    </xf>
    <xf numFmtId="4" fontId="12" fillId="0" borderId="0" xfId="20" applyNumberFormat="1" applyFont="1" applyAlignment="1">
      <alignment/>
      <protection/>
    </xf>
    <xf numFmtId="0" fontId="12" fillId="0" borderId="0" xfId="20" applyFont="1" applyAlignment="1">
      <alignment/>
      <protection/>
    </xf>
    <xf numFmtId="49" fontId="6" fillId="0" borderId="53" xfId="20" applyNumberFormat="1" applyFont="1" applyFill="1" applyBorder="1" applyAlignment="1">
      <alignment/>
      <protection/>
    </xf>
    <xf numFmtId="49" fontId="6" fillId="0" borderId="53" xfId="20" applyNumberFormat="1" applyFont="1" applyFill="1" applyBorder="1" applyAlignment="1">
      <alignment horizontal="left"/>
      <protection/>
    </xf>
    <xf numFmtId="0" fontId="6" fillId="0" borderId="0" xfId="20" applyFont="1" applyFill="1" applyBorder="1" applyAlignment="1">
      <alignment/>
      <protection/>
    </xf>
    <xf numFmtId="0" fontId="6" fillId="0" borderId="53" xfId="20" applyFont="1" applyFill="1" applyBorder="1" applyAlignment="1">
      <alignment horizontal="center"/>
      <protection/>
    </xf>
    <xf numFmtId="4" fontId="6" fillId="0" borderId="53" xfId="20" applyNumberFormat="1" applyFont="1" applyFill="1" applyBorder="1" applyAlignment="1">
      <alignment horizontal="right"/>
      <protection/>
    </xf>
    <xf numFmtId="49" fontId="12" fillId="2" borderId="13" xfId="20" applyNumberFormat="1" applyFont="1" applyFill="1" applyBorder="1" applyAlignment="1">
      <alignment/>
      <protection/>
    </xf>
    <xf numFmtId="0" fontId="12" fillId="2" borderId="0" xfId="20" applyFont="1" applyFill="1" applyBorder="1" applyAlignment="1">
      <alignment horizontal="left"/>
      <protection/>
    </xf>
    <xf numFmtId="0" fontId="12" fillId="2" borderId="0" xfId="20" applyFont="1" applyFill="1" applyBorder="1" applyAlignment="1">
      <alignment/>
      <protection/>
    </xf>
    <xf numFmtId="0" fontId="12" fillId="2" borderId="0" xfId="20" applyFont="1" applyFill="1" applyBorder="1" applyAlignment="1">
      <alignment horizontal="center"/>
      <protection/>
    </xf>
    <xf numFmtId="0" fontId="12" fillId="2" borderId="0" xfId="20" applyNumberFormat="1" applyFont="1" applyFill="1" applyBorder="1" applyAlignment="1">
      <alignment horizontal="center"/>
      <protection/>
    </xf>
    <xf numFmtId="4" fontId="12" fillId="2" borderId="6" xfId="20" applyNumberFormat="1" applyFont="1" applyFill="1" applyBorder="1" applyAlignment="1">
      <alignment horizontal="right"/>
      <protection/>
    </xf>
    <xf numFmtId="49" fontId="8" fillId="0" borderId="53" xfId="20" applyNumberFormat="1" applyFont="1" applyFill="1" applyBorder="1" applyAlignment="1">
      <alignment horizontal="center"/>
      <protection/>
    </xf>
    <xf numFmtId="49" fontId="17" fillId="0" borderId="0" xfId="20" applyNumberFormat="1" applyFont="1" applyFill="1" applyBorder="1" applyAlignment="1">
      <alignment/>
      <protection/>
    </xf>
    <xf numFmtId="49" fontId="17" fillId="0" borderId="6" xfId="20" applyNumberFormat="1" applyFont="1" applyFill="1" applyBorder="1" applyAlignment="1">
      <alignment horizontal="left"/>
      <protection/>
    </xf>
    <xf numFmtId="4" fontId="17" fillId="0" borderId="6" xfId="20" applyNumberFormat="1" applyFont="1" applyFill="1" applyBorder="1" applyAlignment="1">
      <alignment horizontal="right"/>
      <protection/>
    </xf>
    <xf numFmtId="49" fontId="8" fillId="0" borderId="0" xfId="20" applyNumberFormat="1" applyFont="1" applyFill="1" applyBorder="1" applyAlignment="1">
      <alignment/>
      <protection/>
    </xf>
    <xf numFmtId="49" fontId="8" fillId="0" borderId="53" xfId="20" applyNumberFormat="1" applyFont="1" applyFill="1" applyBorder="1" applyAlignment="1">
      <alignment horizontal="left"/>
      <protection/>
    </xf>
    <xf numFmtId="0" fontId="6" fillId="0" borderId="53" xfId="20" applyFont="1" applyFill="1" applyBorder="1" applyAlignment="1">
      <alignment/>
      <protection/>
    </xf>
    <xf numFmtId="0" fontId="6" fillId="0" borderId="53" xfId="20" applyFont="1" applyFill="1" applyBorder="1" applyAlignment="1">
      <alignment horizontal="left"/>
      <protection/>
    </xf>
    <xf numFmtId="0" fontId="12" fillId="2" borderId="13" xfId="20" applyFont="1" applyFill="1" applyBorder="1" applyAlignment="1">
      <alignment/>
      <protection/>
    </xf>
    <xf numFmtId="0" fontId="12" fillId="2" borderId="0" xfId="20" applyFont="1" applyFill="1" applyBorder="1" applyAlignment="1">
      <alignment horizontal="right"/>
      <protection/>
    </xf>
    <xf numFmtId="4" fontId="6" fillId="0" borderId="53" xfId="20" applyNumberFormat="1" applyFont="1" applyFill="1" applyBorder="1" applyAlignment="1">
      <alignment/>
      <protection/>
    </xf>
    <xf numFmtId="49" fontId="8" fillId="0" borderId="0" xfId="20" applyNumberFormat="1" applyFont="1" applyFill="1" applyBorder="1" applyAlignment="1">
      <alignment vertical="justify"/>
      <protection/>
    </xf>
    <xf numFmtId="49" fontId="17" fillId="0" borderId="53" xfId="20" applyNumberFormat="1" applyFont="1" applyFill="1" applyBorder="1" applyAlignment="1">
      <alignment horizontal="center"/>
      <protection/>
    </xf>
    <xf numFmtId="0" fontId="6" fillId="0" borderId="53" xfId="20" applyFont="1" applyBorder="1">
      <alignment/>
      <protection/>
    </xf>
    <xf numFmtId="0" fontId="6" fillId="0" borderId="53" xfId="20" applyFont="1" applyBorder="1" applyAlignment="1">
      <alignment horizontal="center"/>
      <protection/>
    </xf>
    <xf numFmtId="4" fontId="6" fillId="0" borderId="53" xfId="20" applyNumberFormat="1" applyFont="1" applyBorder="1" applyAlignment="1">
      <alignment horizontal="right"/>
      <protection/>
    </xf>
    <xf numFmtId="4" fontId="6" fillId="0" borderId="53" xfId="20" applyNumberFormat="1" applyFont="1" applyBorder="1">
      <alignment/>
      <protection/>
    </xf>
    <xf numFmtId="0" fontId="8" fillId="0" borderId="53" xfId="20" applyFont="1" applyBorder="1" applyAlignment="1">
      <alignment horizontal="center"/>
      <protection/>
    </xf>
    <xf numFmtId="0" fontId="8" fillId="0" borderId="53" xfId="20" applyFont="1" applyBorder="1" applyAlignment="1">
      <alignment horizontal="left"/>
      <protection/>
    </xf>
    <xf numFmtId="0" fontId="8" fillId="0" borderId="53" xfId="20" applyFont="1" applyBorder="1">
      <alignment/>
      <protection/>
    </xf>
    <xf numFmtId="4" fontId="8" fillId="0" borderId="53" xfId="20" applyNumberFormat="1" applyFont="1" applyBorder="1" applyAlignment="1">
      <alignment horizontal="right"/>
      <protection/>
    </xf>
    <xf numFmtId="0" fontId="8" fillId="2" borderId="13" xfId="20" applyFont="1" applyFill="1" applyBorder="1">
      <alignment/>
      <protection/>
    </xf>
    <xf numFmtId="0" fontId="12" fillId="2" borderId="0" xfId="20" applyFont="1" applyFill="1" applyBorder="1">
      <alignment/>
      <protection/>
    </xf>
    <xf numFmtId="0" fontId="8" fillId="2" borderId="0" xfId="20" applyFont="1" applyFill="1" applyBorder="1">
      <alignment/>
      <protection/>
    </xf>
    <xf numFmtId="0" fontId="8" fillId="2" borderId="0" xfId="20" applyFont="1" applyFill="1" applyBorder="1" applyAlignment="1">
      <alignment horizontal="right"/>
      <protection/>
    </xf>
    <xf numFmtId="4" fontId="12" fillId="2" borderId="6" xfId="20" applyNumberFormat="1" applyFont="1" applyFill="1" applyBorder="1">
      <alignment/>
      <protection/>
    </xf>
    <xf numFmtId="0" fontId="8" fillId="0" borderId="53" xfId="20" applyFont="1" applyFill="1" applyBorder="1" applyAlignment="1">
      <alignment horizontal="center" vertical="top"/>
      <protection/>
    </xf>
    <xf numFmtId="4" fontId="12" fillId="2" borderId="0" xfId="20" applyNumberFormat="1" applyFont="1" applyFill="1" applyBorder="1" applyAlignment="1">
      <alignment/>
      <protection/>
    </xf>
    <xf numFmtId="49" fontId="17" fillId="0" borderId="53" xfId="20" applyNumberFormat="1" applyFont="1" applyFill="1" applyBorder="1" applyAlignment="1">
      <alignment horizontal="left"/>
      <protection/>
    </xf>
    <xf numFmtId="4" fontId="17" fillId="0" borderId="0" xfId="20" applyNumberFormat="1" applyFont="1" applyFill="1" applyBorder="1" applyAlignment="1">
      <alignment horizontal="right"/>
      <protection/>
    </xf>
    <xf numFmtId="4" fontId="17" fillId="0" borderId="0" xfId="20" applyNumberFormat="1" applyFont="1" applyFill="1" applyBorder="1" applyAlignment="1">
      <alignment/>
      <protection/>
    </xf>
    <xf numFmtId="49" fontId="9" fillId="0" borderId="5" xfId="0" applyNumberFormat="1" applyFont="1" applyFill="1" applyBorder="1"/>
    <xf numFmtId="4" fontId="6" fillId="0" borderId="6" xfId="20" applyNumberFormat="1" applyFont="1" applyFill="1" applyBorder="1" applyAlignment="1">
      <alignment horizontal="right"/>
      <protection/>
    </xf>
    <xf numFmtId="49" fontId="12" fillId="2" borderId="13" xfId="20" applyNumberFormat="1" applyFont="1" applyFill="1" applyBorder="1" applyAlignment="1">
      <alignment horizontal="center"/>
      <protection/>
    </xf>
    <xf numFmtId="49" fontId="8" fillId="0" borderId="53" xfId="20" applyNumberFormat="1" applyFont="1" applyFill="1" applyBorder="1" applyAlignment="1">
      <alignment horizontal="center" vertical="top"/>
      <protection/>
    </xf>
    <xf numFmtId="49" fontId="9" fillId="0" borderId="5" xfId="0" applyNumberFormat="1" applyFont="1" applyFill="1" applyBorder="1" applyAlignment="1">
      <alignment horizontal="left"/>
    </xf>
    <xf numFmtId="0" fontId="17" fillId="0" borderId="53" xfId="20" applyFont="1" applyFill="1" applyBorder="1" applyAlignment="1">
      <alignment horizontal="center" vertical="top"/>
      <protection/>
    </xf>
    <xf numFmtId="49" fontId="9" fillId="0" borderId="5" xfId="0" applyNumberFormat="1" applyFont="1" applyBorder="1" applyAlignment="1">
      <alignment horizontal="left"/>
    </xf>
    <xf numFmtId="4" fontId="17" fillId="0" borderId="0" xfId="20" applyNumberFormat="1" applyFont="1" applyFill="1" applyBorder="1" applyAlignment="1">
      <alignment/>
      <protection/>
    </xf>
    <xf numFmtId="4" fontId="17" fillId="0" borderId="0" xfId="20" applyNumberFormat="1" applyFont="1" applyFill="1" applyBorder="1" applyAlignment="1">
      <alignment vertical="justify"/>
      <protection/>
    </xf>
    <xf numFmtId="4" fontId="8" fillId="0" borderId="53" xfId="20" applyNumberFormat="1" applyFont="1" applyFill="1" applyBorder="1">
      <alignment/>
      <protection/>
    </xf>
    <xf numFmtId="0" fontId="6" fillId="0" borderId="1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0" fillId="0" borderId="0" xfId="0" applyAlignment="1">
      <alignment vertical="justify"/>
    </xf>
    <xf numFmtId="3" fontId="2" fillId="2" borderId="35" xfId="0" applyNumberFormat="1" applyFont="1" applyFill="1" applyBorder="1" applyAlignment="1">
      <alignment horizontal="right"/>
    </xf>
    <xf numFmtId="3" fontId="2" fillId="2" borderId="52" xfId="0" applyNumberFormat="1" applyFont="1" applyFill="1" applyBorder="1" applyAlignment="1">
      <alignment horizontal="right"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0" fontId="0" fillId="0" borderId="61" xfId="20" applyFont="1" applyBorder="1" applyAlignment="1">
      <alignment horizontal="left"/>
      <protection/>
    </xf>
    <xf numFmtId="0" fontId="0" fillId="0" borderId="43" xfId="20" applyFont="1" applyBorder="1" applyAlignment="1">
      <alignment horizontal="left"/>
      <protection/>
    </xf>
    <xf numFmtId="0" fontId="0" fillId="0" borderId="62" xfId="20" applyFont="1" applyBorder="1" applyAlignment="1">
      <alignment horizontal="left"/>
      <protection/>
    </xf>
    <xf numFmtId="0" fontId="13" fillId="0" borderId="0" xfId="20" applyFont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49" fontId="0" fillId="0" borderId="59" xfId="20" applyNumberFormat="1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0" fontId="0" fillId="0" borderId="61" xfId="20" applyFont="1" applyBorder="1" applyAlignment="1">
      <alignment horizontal="center" shrinkToFit="1"/>
      <protection/>
    </xf>
    <xf numFmtId="0" fontId="0" fillId="0" borderId="43" xfId="20" applyFont="1" applyBorder="1" applyAlignment="1">
      <alignment horizontal="center" shrinkToFit="1"/>
      <protection/>
    </xf>
    <xf numFmtId="0" fontId="0" fillId="0" borderId="62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8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5.00390625" style="0" customWidth="1"/>
    <col min="6" max="6" width="17.375" style="0" customWidth="1"/>
    <col min="7" max="7" width="15.25390625" style="0" customWidth="1"/>
  </cols>
  <sheetData>
    <row r="1" spans="1:7" ht="21.75" customHeight="1">
      <c r="A1" s="1" t="s">
        <v>818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2.95" customHeight="1">
      <c r="A4" s="7"/>
      <c r="B4" s="8"/>
      <c r="C4" s="9" t="s">
        <v>165</v>
      </c>
      <c r="D4" s="10"/>
      <c r="E4" s="10"/>
      <c r="F4" s="11"/>
      <c r="G4" s="12"/>
    </row>
    <row r="5" spans="1:7" ht="12.95" customHeight="1">
      <c r="A5" s="13" t="s">
        <v>3</v>
      </c>
      <c r="B5" s="14"/>
      <c r="C5" s="15" t="s">
        <v>4</v>
      </c>
      <c r="D5" s="15"/>
      <c r="E5" s="15"/>
      <c r="F5" s="16" t="s">
        <v>5</v>
      </c>
      <c r="G5" s="17"/>
    </row>
    <row r="6" spans="1:7" ht="12.95" customHeight="1">
      <c r="A6" s="7"/>
      <c r="B6" s="8"/>
      <c r="C6" s="9" t="s">
        <v>95</v>
      </c>
      <c r="D6" s="10"/>
      <c r="E6" s="10"/>
      <c r="F6" s="18"/>
      <c r="G6" s="12"/>
    </row>
    <row r="7" spans="1:9" ht="12.75">
      <c r="A7" s="13" t="s">
        <v>6</v>
      </c>
      <c r="B7" s="15"/>
      <c r="C7" s="370"/>
      <c r="D7" s="371"/>
      <c r="E7" s="19" t="s">
        <v>7</v>
      </c>
      <c r="F7" s="20"/>
      <c r="G7" s="21">
        <v>0</v>
      </c>
      <c r="H7" s="22"/>
      <c r="I7" s="22"/>
    </row>
    <row r="8" spans="1:7" ht="12.75">
      <c r="A8" s="13" t="s">
        <v>8</v>
      </c>
      <c r="B8" s="15"/>
      <c r="C8" s="370"/>
      <c r="D8" s="371"/>
      <c r="E8" s="16" t="s">
        <v>9</v>
      </c>
      <c r="F8" s="15"/>
      <c r="G8" s="23">
        <f>IF(PocetMJ=0,,ROUND((F29+F31)/PocetMJ,1))</f>
        <v>0</v>
      </c>
    </row>
    <row r="9" spans="1:7" ht="12.75">
      <c r="A9" s="24" t="s">
        <v>10</v>
      </c>
      <c r="B9" s="25"/>
      <c r="C9" s="25"/>
      <c r="D9" s="25"/>
      <c r="E9" s="26" t="s">
        <v>11</v>
      </c>
      <c r="F9" s="25"/>
      <c r="G9" s="27"/>
    </row>
    <row r="10" spans="1:57" ht="12.75">
      <c r="A10" s="28" t="s">
        <v>72</v>
      </c>
      <c r="B10" s="11"/>
      <c r="C10" s="11"/>
      <c r="D10" s="11"/>
      <c r="E10" s="29" t="s">
        <v>73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372"/>
      <c r="F11" s="373"/>
      <c r="G11" s="374"/>
    </row>
    <row r="12" spans="1:7" ht="28.5" customHeight="1" thickBot="1">
      <c r="A12" s="31" t="s">
        <v>12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13</v>
      </c>
      <c r="B13" s="36"/>
      <c r="C13" s="37"/>
      <c r="D13" s="38" t="s">
        <v>14</v>
      </c>
      <c r="E13" s="39"/>
      <c r="F13" s="39"/>
      <c r="G13" s="37"/>
    </row>
    <row r="14" spans="1:7" ht="15.95" customHeight="1">
      <c r="A14" s="40"/>
      <c r="B14" s="41" t="s">
        <v>15</v>
      </c>
      <c r="C14" s="42">
        <f>Dodavka</f>
        <v>0</v>
      </c>
      <c r="D14" s="43" t="str">
        <f>Rekapitulace!A38</f>
        <v>Ztížené výrobní podmínky</v>
      </c>
      <c r="E14" s="44"/>
      <c r="F14" s="45"/>
      <c r="G14" s="42">
        <f>Rekapitulace!I38</f>
        <v>0</v>
      </c>
    </row>
    <row r="15" spans="1:7" ht="15.95" customHeight="1">
      <c r="A15" s="40" t="s">
        <v>16</v>
      </c>
      <c r="B15" s="41" t="s">
        <v>17</v>
      </c>
      <c r="C15" s="42">
        <f>Mont</f>
        <v>0</v>
      </c>
      <c r="D15" s="24" t="str">
        <f>Rekapitulace!A39</f>
        <v>Oborová přirážka</v>
      </c>
      <c r="E15" s="46"/>
      <c r="F15" s="47"/>
      <c r="G15" s="42">
        <f>Rekapitulace!I39</f>
        <v>0</v>
      </c>
    </row>
    <row r="16" spans="1:7" ht="15.95" customHeight="1">
      <c r="A16" s="40" t="s">
        <v>18</v>
      </c>
      <c r="B16" s="41" t="s">
        <v>19</v>
      </c>
      <c r="C16" s="42">
        <f>HSV</f>
        <v>0</v>
      </c>
      <c r="D16" s="24" t="str">
        <f>Rekapitulace!A40</f>
        <v>Přesun stavebních kapacit</v>
      </c>
      <c r="E16" s="46"/>
      <c r="F16" s="47"/>
      <c r="G16" s="42">
        <f>Rekapitulace!I40</f>
        <v>0</v>
      </c>
    </row>
    <row r="17" spans="1:7" ht="15.95" customHeight="1">
      <c r="A17" s="48" t="s">
        <v>20</v>
      </c>
      <c r="B17" s="41" t="s">
        <v>21</v>
      </c>
      <c r="C17" s="42">
        <f>PSV</f>
        <v>0</v>
      </c>
      <c r="D17" s="24" t="str">
        <f>Rekapitulace!A41</f>
        <v>Mimostaveništní doprava</v>
      </c>
      <c r="E17" s="46"/>
      <c r="F17" s="47"/>
      <c r="G17" s="42">
        <f>Rekapitulace!I41</f>
        <v>0</v>
      </c>
    </row>
    <row r="18" spans="1:7" ht="15.95" customHeight="1">
      <c r="A18" s="49" t="s">
        <v>22</v>
      </c>
      <c r="B18" s="41"/>
      <c r="C18" s="42">
        <f>SUM(C14:C17)</f>
        <v>0</v>
      </c>
      <c r="D18" s="50" t="str">
        <f>Rekapitulace!A42</f>
        <v>Zařízení staveniště</v>
      </c>
      <c r="E18" s="46"/>
      <c r="F18" s="47"/>
      <c r="G18" s="42">
        <f>Rekapitulace!I42</f>
        <v>0</v>
      </c>
    </row>
    <row r="19" spans="1:7" ht="15.95" customHeight="1">
      <c r="A19" s="49"/>
      <c r="B19" s="41"/>
      <c r="C19" s="42"/>
      <c r="D19" s="24" t="str">
        <f>Rekapitulace!A43</f>
        <v>Provoz investora</v>
      </c>
      <c r="E19" s="46"/>
      <c r="F19" s="47"/>
      <c r="G19" s="42">
        <f>Rekapitulace!I43</f>
        <v>0</v>
      </c>
    </row>
    <row r="20" spans="1:7" ht="15.95" customHeight="1">
      <c r="A20" s="49" t="s">
        <v>23</v>
      </c>
      <c r="B20" s="41"/>
      <c r="C20" s="42">
        <f>HZS</f>
        <v>0</v>
      </c>
      <c r="D20" s="24" t="str">
        <f>Rekapitulace!A44</f>
        <v>Kompletační činnost (IČD)</v>
      </c>
      <c r="E20" s="46"/>
      <c r="F20" s="47"/>
      <c r="G20" s="42">
        <f>Rekapitulace!I44</f>
        <v>0</v>
      </c>
    </row>
    <row r="21" spans="1:7" ht="15.95" customHeight="1">
      <c r="A21" s="28" t="s">
        <v>24</v>
      </c>
      <c r="B21" s="11"/>
      <c r="C21" s="42">
        <f>C18+C20</f>
        <v>0</v>
      </c>
      <c r="D21" s="24" t="s">
        <v>25</v>
      </c>
      <c r="E21" s="46"/>
      <c r="F21" s="47"/>
      <c r="G21" s="42">
        <f>G22-SUM(G14:G20)</f>
        <v>0</v>
      </c>
    </row>
    <row r="22" spans="1:7" ht="15.95" customHeight="1" thickBot="1">
      <c r="A22" s="24" t="s">
        <v>26</v>
      </c>
      <c r="B22" s="25"/>
      <c r="C22" s="51">
        <f>C21+G22</f>
        <v>0</v>
      </c>
      <c r="D22" s="52" t="s">
        <v>27</v>
      </c>
      <c r="E22" s="53"/>
      <c r="F22" s="54"/>
      <c r="G22" s="42">
        <f>VRN</f>
        <v>0</v>
      </c>
    </row>
    <row r="23" spans="1:7" ht="12.75">
      <c r="A23" s="3" t="s">
        <v>28</v>
      </c>
      <c r="B23" s="5"/>
      <c r="C23" s="55" t="s">
        <v>29</v>
      </c>
      <c r="D23" s="5"/>
      <c r="E23" s="55" t="s">
        <v>30</v>
      </c>
      <c r="F23" s="5"/>
      <c r="G23" s="6"/>
    </row>
    <row r="24" spans="1:7" ht="12.75">
      <c r="A24" s="13"/>
      <c r="B24" s="15" t="s">
        <v>661</v>
      </c>
      <c r="C24" s="16" t="s">
        <v>31</v>
      </c>
      <c r="D24" s="15"/>
      <c r="E24" s="16" t="s">
        <v>31</v>
      </c>
      <c r="F24" s="15"/>
      <c r="G24" s="17"/>
    </row>
    <row r="25" spans="1:7" ht="12.75">
      <c r="A25" s="28" t="s">
        <v>32</v>
      </c>
      <c r="B25" s="56"/>
      <c r="C25" s="29" t="s">
        <v>32</v>
      </c>
      <c r="D25" s="11"/>
      <c r="E25" s="29" t="s">
        <v>32</v>
      </c>
      <c r="F25" s="11"/>
      <c r="G25" s="12"/>
    </row>
    <row r="26" spans="1:7" ht="12.75">
      <c r="A26" s="28"/>
      <c r="B26" s="117">
        <v>41466</v>
      </c>
      <c r="C26" s="29" t="s">
        <v>33</v>
      </c>
      <c r="D26" s="11"/>
      <c r="E26" s="29" t="s">
        <v>34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35</v>
      </c>
      <c r="B29" s="15"/>
      <c r="C29" s="135">
        <v>0</v>
      </c>
      <c r="D29" s="15" t="s">
        <v>36</v>
      </c>
      <c r="E29" s="16"/>
      <c r="F29" s="58">
        <f>ROUND(C22-F31,0)</f>
        <v>0</v>
      </c>
      <c r="G29" s="17"/>
    </row>
    <row r="30" spans="1:7" ht="12.75">
      <c r="A30" s="13" t="s">
        <v>37</v>
      </c>
      <c r="B30" s="15"/>
      <c r="C30" s="57">
        <v>0</v>
      </c>
      <c r="D30" s="15" t="s">
        <v>36</v>
      </c>
      <c r="E30" s="16"/>
      <c r="F30" s="59">
        <f>ROUND(PRODUCT(F29,C30/100),1)</f>
        <v>0</v>
      </c>
      <c r="G30" s="27"/>
    </row>
    <row r="31" spans="1:7" ht="12.75">
      <c r="A31" s="13" t="s">
        <v>35</v>
      </c>
      <c r="B31" s="15"/>
      <c r="C31" s="57">
        <v>0</v>
      </c>
      <c r="D31" s="15" t="s">
        <v>36</v>
      </c>
      <c r="E31" s="16"/>
      <c r="F31" s="58">
        <v>0</v>
      </c>
      <c r="G31" s="17"/>
    </row>
    <row r="32" spans="1:7" ht="12.75">
      <c r="A32" s="13" t="s">
        <v>37</v>
      </c>
      <c r="B32" s="15"/>
      <c r="C32" s="57">
        <f>SazbaDPH2</f>
        <v>0</v>
      </c>
      <c r="D32" s="15" t="s">
        <v>36</v>
      </c>
      <c r="E32" s="16"/>
      <c r="F32" s="59">
        <f>ROUND(PRODUCT(F31,C32/100),1)</f>
        <v>0</v>
      </c>
      <c r="G32" s="27"/>
    </row>
    <row r="33" spans="1:7" s="65" customFormat="1" ht="19.5" customHeight="1" thickBot="1">
      <c r="A33" s="60" t="s">
        <v>38</v>
      </c>
      <c r="B33" s="61"/>
      <c r="C33" s="61"/>
      <c r="D33" s="61"/>
      <c r="E33" s="62"/>
      <c r="F33" s="63">
        <f>CEILING(SUM(F29:F32),1)</f>
        <v>0</v>
      </c>
      <c r="G33" s="64"/>
    </row>
    <row r="35" s="89" customFormat="1" ht="12.75">
      <c r="B35" s="89" t="s">
        <v>79</v>
      </c>
    </row>
    <row r="36" s="219" customFormat="1" ht="5.1" customHeight="1"/>
    <row r="37" spans="2:7" ht="39" customHeight="1">
      <c r="B37" s="375" t="s">
        <v>820</v>
      </c>
      <c r="C37" s="375"/>
      <c r="D37" s="375"/>
      <c r="E37" s="375"/>
      <c r="F37" s="375"/>
      <c r="G37" s="375"/>
    </row>
    <row r="38" spans="2:7" ht="26.1" customHeight="1">
      <c r="B38" s="375" t="s">
        <v>821</v>
      </c>
      <c r="C38" s="375"/>
      <c r="D38" s="375"/>
      <c r="E38" s="375"/>
      <c r="F38" s="375"/>
      <c r="G38" s="375"/>
    </row>
  </sheetData>
  <mergeCells count="5">
    <mergeCell ref="C7:D7"/>
    <mergeCell ref="C8:D8"/>
    <mergeCell ref="E11:G11"/>
    <mergeCell ref="B37:G37"/>
    <mergeCell ref="B38:G38"/>
  </mergeCells>
  <printOptions/>
  <pageMargins left="0.4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7"/>
  <sheetViews>
    <sheetView workbookViewId="0" topLeftCell="A1">
      <selection activeCell="A1" sqref="A1:I4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9" width="10.625" style="0" customWidth="1"/>
  </cols>
  <sheetData>
    <row r="1" spans="1:9" ht="13.5" thickTop="1">
      <c r="A1" s="378" t="s">
        <v>3</v>
      </c>
      <c r="B1" s="379"/>
      <c r="C1" s="66" t="str">
        <f>CONCATENATE(cislostavby," ",nazevstavby)</f>
        <v xml:space="preserve"> Městská poliklinika Týn nad Vltavou,Sakařova 755</v>
      </c>
      <c r="D1" s="67"/>
      <c r="E1" s="68"/>
      <c r="F1" s="67"/>
      <c r="G1" s="69" t="s">
        <v>39</v>
      </c>
      <c r="H1" s="70"/>
      <c r="I1" s="71"/>
    </row>
    <row r="2" spans="1:9" ht="13.5" thickBot="1">
      <c r="A2" s="380" t="s">
        <v>0</v>
      </c>
      <c r="B2" s="381"/>
      <c r="C2" s="72" t="str">
        <f>CONCATENATE(cisloobjektu," ",nazevobjektu)</f>
        <v xml:space="preserve"> Zateplení - II.etapa</v>
      </c>
      <c r="D2" s="73"/>
      <c r="E2" s="74"/>
      <c r="F2" s="73"/>
      <c r="G2" s="382"/>
      <c r="H2" s="383"/>
      <c r="I2" s="384"/>
    </row>
    <row r="3" ht="13.5" thickTop="1">
      <c r="F3" s="11"/>
    </row>
    <row r="4" spans="1:9" ht="19.5" customHeight="1">
      <c r="A4" s="75" t="s">
        <v>40</v>
      </c>
      <c r="B4" s="1"/>
      <c r="C4" s="1"/>
      <c r="D4" s="1"/>
      <c r="E4" s="76"/>
      <c r="F4" s="1"/>
      <c r="G4" s="1"/>
      <c r="H4" s="1"/>
      <c r="I4" s="1"/>
    </row>
    <row r="5" ht="13.5" thickBot="1"/>
    <row r="6" spans="1:9" s="11" customFormat="1" ht="13.5" thickBot="1">
      <c r="A6" s="77"/>
      <c r="B6" s="78" t="s">
        <v>41</v>
      </c>
      <c r="C6" s="78"/>
      <c r="D6" s="79"/>
      <c r="E6" s="80" t="s">
        <v>42</v>
      </c>
      <c r="F6" s="81" t="s">
        <v>43</v>
      </c>
      <c r="G6" s="81" t="s">
        <v>44</v>
      </c>
      <c r="H6" s="81" t="s">
        <v>45</v>
      </c>
      <c r="I6" s="82" t="s">
        <v>23</v>
      </c>
    </row>
    <row r="7" spans="1:9" s="130" customFormat="1" ht="12">
      <c r="A7" s="360" t="str">
        <f>Položky!B7</f>
        <v>001</v>
      </c>
      <c r="B7" s="131" t="str">
        <f>Položky!C7</f>
        <v>Zemní práce</v>
      </c>
      <c r="C7" s="128"/>
      <c r="D7" s="129"/>
      <c r="E7" s="132">
        <f>Položky!G25</f>
        <v>0</v>
      </c>
      <c r="F7" s="133"/>
      <c r="G7" s="133"/>
      <c r="H7" s="133"/>
      <c r="I7" s="134"/>
    </row>
    <row r="8" spans="1:9" s="130" customFormat="1" ht="12">
      <c r="A8" s="360" t="str">
        <f>Položky!B26</f>
        <v>003</v>
      </c>
      <c r="B8" s="131" t="str">
        <f>Položky!C26</f>
        <v>Svislé a kompletní konstrukce</v>
      </c>
      <c r="C8" s="128"/>
      <c r="D8" s="129"/>
      <c r="E8" s="132">
        <f>Položky!G51</f>
        <v>0</v>
      </c>
      <c r="F8" s="133"/>
      <c r="G8" s="133"/>
      <c r="H8" s="133"/>
      <c r="I8" s="134"/>
    </row>
    <row r="9" spans="1:9" s="130" customFormat="1" ht="12">
      <c r="A9" s="360" t="str">
        <f>Položky!B52</f>
        <v>004</v>
      </c>
      <c r="B9" s="131" t="str">
        <f>Položky!C52</f>
        <v>Vodorovné konstrukce</v>
      </c>
      <c r="C9" s="128"/>
      <c r="D9" s="129"/>
      <c r="E9" s="132">
        <f>Položky!G55</f>
        <v>0</v>
      </c>
      <c r="F9" s="133"/>
      <c r="G9" s="133"/>
      <c r="H9" s="133"/>
      <c r="I9" s="134"/>
    </row>
    <row r="10" spans="1:9" s="130" customFormat="1" ht="12">
      <c r="A10" s="360" t="str">
        <f>Položky!B56</f>
        <v>005</v>
      </c>
      <c r="B10" s="131" t="str">
        <f>Položky!C56</f>
        <v>Komunikace pozemní a letiště</v>
      </c>
      <c r="C10" s="128"/>
      <c r="D10" s="129"/>
      <c r="E10" s="132">
        <f>Položky!G63</f>
        <v>0</v>
      </c>
      <c r="F10" s="133"/>
      <c r="G10" s="133"/>
      <c r="H10" s="133"/>
      <c r="I10" s="134"/>
    </row>
    <row r="11" spans="1:9" s="130" customFormat="1" ht="12">
      <c r="A11" s="360" t="str">
        <f>Položky!B64</f>
        <v>0061</v>
      </c>
      <c r="B11" s="131" t="str">
        <f>Položky!C64</f>
        <v>Úpravy povrchů - vnitřní</v>
      </c>
      <c r="C11" s="128"/>
      <c r="D11" s="129"/>
      <c r="E11" s="132">
        <f>Položky!G72</f>
        <v>0</v>
      </c>
      <c r="F11" s="133"/>
      <c r="G11" s="133"/>
      <c r="H11" s="133"/>
      <c r="I11" s="134"/>
    </row>
    <row r="12" spans="1:9" s="130" customFormat="1" ht="12">
      <c r="A12" s="360" t="str">
        <f>Položky!B73</f>
        <v>0062</v>
      </c>
      <c r="B12" s="131" t="str">
        <f>Položky!C73</f>
        <v>Úpravy povrchů - vnější</v>
      </c>
      <c r="C12" s="128"/>
      <c r="D12" s="129"/>
      <c r="E12" s="132">
        <f>Položky!G128</f>
        <v>0</v>
      </c>
      <c r="F12" s="133"/>
      <c r="G12" s="133"/>
      <c r="H12" s="133"/>
      <c r="I12" s="134"/>
    </row>
    <row r="13" spans="1:9" s="130" customFormat="1" ht="12">
      <c r="A13" s="360" t="str">
        <f>Položky!B129</f>
        <v>0063</v>
      </c>
      <c r="B13" s="131" t="str">
        <f>Položky!C129</f>
        <v>Podlahy a podlahové konstrukce</v>
      </c>
      <c r="C13" s="128"/>
      <c r="D13" s="129"/>
      <c r="E13" s="132">
        <f>Položky!G132</f>
        <v>0</v>
      </c>
      <c r="F13" s="133"/>
      <c r="G13" s="133"/>
      <c r="H13" s="133"/>
      <c r="I13" s="134"/>
    </row>
    <row r="14" spans="1:9" s="130" customFormat="1" ht="12">
      <c r="A14" s="360" t="str">
        <f>Položky!B133</f>
        <v>0064</v>
      </c>
      <c r="B14" s="131" t="str">
        <f>Položky!C133</f>
        <v>Osazování výplní otvorů</v>
      </c>
      <c r="C14" s="128"/>
      <c r="D14" s="129"/>
      <c r="E14" s="132">
        <f>Položky!G180</f>
        <v>0</v>
      </c>
      <c r="F14" s="133"/>
      <c r="G14" s="133"/>
      <c r="H14" s="133"/>
      <c r="I14" s="134"/>
    </row>
    <row r="15" spans="1:9" s="130" customFormat="1" ht="12">
      <c r="A15" s="360" t="str">
        <f>Položky!B181</f>
        <v>008</v>
      </c>
      <c r="B15" s="131" t="str">
        <f>Položky!C181</f>
        <v>Trubní vedení</v>
      </c>
      <c r="C15" s="128"/>
      <c r="D15" s="129"/>
      <c r="E15" s="132">
        <f>Položky!G196</f>
        <v>0</v>
      </c>
      <c r="F15" s="133"/>
      <c r="G15" s="133"/>
      <c r="H15" s="133"/>
      <c r="I15" s="134"/>
    </row>
    <row r="16" spans="1:9" s="130" customFormat="1" ht="12">
      <c r="A16" s="364" t="str">
        <f>Položky!B197</f>
        <v>009</v>
      </c>
      <c r="B16" s="131" t="str">
        <f>Položky!C197</f>
        <v>Ostatní konstrukce a práce</v>
      </c>
      <c r="C16" s="128"/>
      <c r="D16" s="129"/>
      <c r="E16" s="132">
        <f>Položky!G233</f>
        <v>0</v>
      </c>
      <c r="F16" s="133"/>
      <c r="G16" s="133"/>
      <c r="H16" s="133"/>
      <c r="I16" s="134"/>
    </row>
    <row r="17" spans="1:9" s="11" customFormat="1" ht="12.75">
      <c r="A17" s="366" t="str">
        <f>Položky!B234</f>
        <v>0094</v>
      </c>
      <c r="B17" s="120" t="str">
        <f>Položky!C234</f>
        <v>Lešení s stavební výtahy</v>
      </c>
      <c r="C17" s="121"/>
      <c r="D17" s="122"/>
      <c r="E17" s="124">
        <f>Položky!G245</f>
        <v>0</v>
      </c>
      <c r="F17" s="125"/>
      <c r="G17" s="125"/>
      <c r="H17" s="125"/>
      <c r="I17" s="126"/>
    </row>
    <row r="18" spans="1:9" s="11" customFormat="1" ht="12.75">
      <c r="A18" s="366" t="str">
        <f>Položky!B246</f>
        <v>0096</v>
      </c>
      <c r="B18" s="120" t="str">
        <f>Položky!C246</f>
        <v>Bourání a podchycování konstrukcí</v>
      </c>
      <c r="C18" s="121"/>
      <c r="D18" s="122"/>
      <c r="E18" s="124">
        <f>Položky!G345</f>
        <v>0</v>
      </c>
      <c r="F18" s="125"/>
      <c r="G18" s="125"/>
      <c r="H18" s="125"/>
      <c r="I18" s="126"/>
    </row>
    <row r="19" spans="1:9" s="11" customFormat="1" ht="12.75">
      <c r="A19" s="366" t="str">
        <f>Položky!B346</f>
        <v>0099</v>
      </c>
      <c r="B19" s="120" t="str">
        <f>Položky!C346</f>
        <v>Přesun hmot HSV</v>
      </c>
      <c r="C19" s="121"/>
      <c r="D19" s="122"/>
      <c r="E19" s="124">
        <f>Položky!G349</f>
        <v>0</v>
      </c>
      <c r="F19" s="125"/>
      <c r="G19" s="125"/>
      <c r="H19" s="125"/>
      <c r="I19" s="126"/>
    </row>
    <row r="20" spans="1:9" s="11" customFormat="1" ht="12.75">
      <c r="A20" s="123">
        <f>Položky!B350</f>
        <v>711</v>
      </c>
      <c r="B20" s="120" t="str">
        <f>Položky!C350</f>
        <v>Izolace proti vodě</v>
      </c>
      <c r="C20" s="121"/>
      <c r="D20" s="122"/>
      <c r="E20" s="124"/>
      <c r="F20" s="125">
        <f>Položky!G363</f>
        <v>0</v>
      </c>
      <c r="G20" s="125"/>
      <c r="H20" s="125"/>
      <c r="I20" s="126"/>
    </row>
    <row r="21" spans="1:9" s="11" customFormat="1" ht="12.75">
      <c r="A21" s="123">
        <f>Položky!B364</f>
        <v>712</v>
      </c>
      <c r="B21" s="120" t="str">
        <f>Položky!C364</f>
        <v>Povlakové krytiny</v>
      </c>
      <c r="C21" s="121"/>
      <c r="D21" s="122"/>
      <c r="E21" s="124"/>
      <c r="F21" s="125">
        <f>Položky!G380</f>
        <v>0</v>
      </c>
      <c r="G21" s="125"/>
      <c r="H21" s="125"/>
      <c r="I21" s="126"/>
    </row>
    <row r="22" spans="1:9" s="11" customFormat="1" ht="12.75">
      <c r="A22" s="123">
        <f>Položky!B381</f>
        <v>713</v>
      </c>
      <c r="B22" s="120" t="str">
        <f>Položky!C381</f>
        <v>Izolace tepelné</v>
      </c>
      <c r="C22" s="121"/>
      <c r="D22" s="122"/>
      <c r="E22" s="124"/>
      <c r="F22" s="125">
        <f>Položky!G389</f>
        <v>0</v>
      </c>
      <c r="G22" s="125"/>
      <c r="H22" s="125"/>
      <c r="I22" s="126"/>
    </row>
    <row r="23" spans="1:9" s="11" customFormat="1" ht="12.75">
      <c r="A23" s="123">
        <f>Položky!B390</f>
        <v>731</v>
      </c>
      <c r="B23" s="120" t="str">
        <f>Položky!C390</f>
        <v>Ústřední vytápění</v>
      </c>
      <c r="C23" s="121"/>
      <c r="D23" s="122"/>
      <c r="E23" s="124"/>
      <c r="F23" s="125">
        <f>Položky!G392</f>
        <v>0</v>
      </c>
      <c r="G23" s="125"/>
      <c r="H23" s="125"/>
      <c r="I23" s="126"/>
    </row>
    <row r="24" spans="1:9" s="11" customFormat="1" ht="12.75">
      <c r="A24" s="123">
        <f>Položky!B393</f>
        <v>764</v>
      </c>
      <c r="B24" s="120" t="str">
        <f>Položky!C393</f>
        <v>Klempířské práce</v>
      </c>
      <c r="C24" s="121"/>
      <c r="D24" s="122"/>
      <c r="E24" s="124"/>
      <c r="F24" s="125">
        <f>Položky!G424</f>
        <v>0</v>
      </c>
      <c r="G24" s="125"/>
      <c r="H24" s="125"/>
      <c r="I24" s="126"/>
    </row>
    <row r="25" spans="1:9" s="11" customFormat="1" ht="12.75">
      <c r="A25" s="123">
        <f>Položky!B425</f>
        <v>766</v>
      </c>
      <c r="B25" s="120" t="str">
        <f>Položky!C425</f>
        <v>Konstrukce truhlářské</v>
      </c>
      <c r="C25" s="121"/>
      <c r="D25" s="122"/>
      <c r="E25" s="124"/>
      <c r="F25" s="125">
        <f>Položky!G431</f>
        <v>0</v>
      </c>
      <c r="G25" s="125"/>
      <c r="H25" s="125"/>
      <c r="I25" s="126"/>
    </row>
    <row r="26" spans="1:9" s="11" customFormat="1" ht="12.75">
      <c r="A26" s="123">
        <f>Položky!B432</f>
        <v>767</v>
      </c>
      <c r="B26" s="120" t="str">
        <f>Položky!C432</f>
        <v>Konstrukce zámečnické</v>
      </c>
      <c r="C26" s="121"/>
      <c r="D26" s="122"/>
      <c r="E26" s="124"/>
      <c r="F26" s="125">
        <f>Položky!G464</f>
        <v>0</v>
      </c>
      <c r="G26" s="125"/>
      <c r="H26" s="125"/>
      <c r="I26" s="126"/>
    </row>
    <row r="27" spans="1:9" s="11" customFormat="1" ht="12.75">
      <c r="A27" s="123">
        <f>Položky!B465</f>
        <v>769</v>
      </c>
      <c r="B27" s="120" t="str">
        <f>Položky!C465</f>
        <v>Otvorové prvky z plastů</v>
      </c>
      <c r="C27" s="121"/>
      <c r="D27" s="122"/>
      <c r="E27" s="124"/>
      <c r="F27" s="125">
        <f>Položky!G520</f>
        <v>0</v>
      </c>
      <c r="G27" s="125"/>
      <c r="H27" s="125"/>
      <c r="I27" s="126"/>
    </row>
    <row r="28" spans="1:9" s="11" customFormat="1" ht="12.75">
      <c r="A28" s="123">
        <f>Položky!B521</f>
        <v>771</v>
      </c>
      <c r="B28" s="120" t="str">
        <f>Položky!C521</f>
        <v>Dlažby keramické</v>
      </c>
      <c r="C28" s="121"/>
      <c r="D28" s="122"/>
      <c r="E28" s="124"/>
      <c r="F28" s="125">
        <f>Položky!G525</f>
        <v>0</v>
      </c>
      <c r="G28" s="125"/>
      <c r="H28" s="125"/>
      <c r="I28" s="126"/>
    </row>
    <row r="29" spans="1:9" s="11" customFormat="1" ht="12.75">
      <c r="A29" s="123">
        <f>Položky!B526</f>
        <v>781</v>
      </c>
      <c r="B29" s="120" t="str">
        <f>Položky!C526</f>
        <v>Obklady keramické</v>
      </c>
      <c r="C29" s="121"/>
      <c r="D29" s="122"/>
      <c r="E29" s="124"/>
      <c r="F29" s="125">
        <f>Položky!G530</f>
        <v>0</v>
      </c>
      <c r="G29" s="125"/>
      <c r="H29" s="125"/>
      <c r="I29" s="126"/>
    </row>
    <row r="30" spans="1:9" s="11" customFormat="1" ht="12.75">
      <c r="A30" s="123">
        <f>Položky!B531</f>
        <v>783</v>
      </c>
      <c r="B30" s="120" t="str">
        <f>Položky!C531</f>
        <v>Nátěry</v>
      </c>
      <c r="C30" s="121"/>
      <c r="D30" s="122"/>
      <c r="E30" s="124"/>
      <c r="F30" s="125">
        <f>Položky!G535</f>
        <v>0</v>
      </c>
      <c r="G30" s="125"/>
      <c r="H30" s="125"/>
      <c r="I30" s="126"/>
    </row>
    <row r="31" spans="1:9" s="11" customFormat="1" ht="12.75">
      <c r="A31" s="123">
        <f>Položky!B536</f>
        <v>784</v>
      </c>
      <c r="B31" s="120" t="str">
        <f>Položky!C536</f>
        <v>Malby</v>
      </c>
      <c r="C31" s="121"/>
      <c r="D31" s="122"/>
      <c r="E31" s="124"/>
      <c r="F31" s="125">
        <f>Položky!G541</f>
        <v>0</v>
      </c>
      <c r="G31" s="125"/>
      <c r="H31" s="125"/>
      <c r="I31" s="126"/>
    </row>
    <row r="32" spans="1:9" s="11" customFormat="1" ht="13.5" thickBot="1">
      <c r="A32" s="123" t="str">
        <f>Položky!B542</f>
        <v>M-21</v>
      </c>
      <c r="B32" s="120" t="str">
        <f>Položky!C542</f>
        <v>Elektromontáže</v>
      </c>
      <c r="C32" s="121"/>
      <c r="D32" s="122"/>
      <c r="E32" s="124"/>
      <c r="F32" s="125"/>
      <c r="G32" s="125"/>
      <c r="H32" s="125">
        <f>Položky!G544</f>
        <v>0</v>
      </c>
      <c r="I32" s="126"/>
    </row>
    <row r="33" spans="1:9" s="89" customFormat="1" ht="13.5" thickBot="1">
      <c r="A33" s="83"/>
      <c r="B33" s="84" t="s">
        <v>46</v>
      </c>
      <c r="C33" s="84"/>
      <c r="D33" s="85"/>
      <c r="E33" s="86">
        <f>SUM(E7:E32)</f>
        <v>0</v>
      </c>
      <c r="F33" s="87">
        <f>SUM(F7:F32)</f>
        <v>0</v>
      </c>
      <c r="G33" s="87">
        <f>SUM(G7:G32)</f>
        <v>0</v>
      </c>
      <c r="H33" s="87">
        <f>SUM(H7:H32)</f>
        <v>0</v>
      </c>
      <c r="I33" s="88">
        <f>SUM(I7:I32)</f>
        <v>0</v>
      </c>
    </row>
    <row r="34" spans="1:9" ht="12.75">
      <c r="A34" s="11"/>
      <c r="B34" s="11"/>
      <c r="C34" s="11"/>
      <c r="D34" s="11"/>
      <c r="E34" s="11"/>
      <c r="F34" s="11"/>
      <c r="G34" s="11"/>
      <c r="H34" s="11"/>
      <c r="I34" s="11"/>
    </row>
    <row r="35" spans="1:57" ht="19.5" customHeight="1">
      <c r="A35" s="1" t="s">
        <v>47</v>
      </c>
      <c r="B35" s="1"/>
      <c r="C35" s="1"/>
      <c r="D35" s="1"/>
      <c r="E35" s="1"/>
      <c r="F35" s="1"/>
      <c r="G35" s="90"/>
      <c r="H35" s="1"/>
      <c r="I35" s="1"/>
      <c r="BA35" s="30"/>
      <c r="BB35" s="30"/>
      <c r="BC35" s="30"/>
      <c r="BD35" s="30"/>
      <c r="BE35" s="30"/>
    </row>
    <row r="36" ht="13.5" thickBot="1"/>
    <row r="37" spans="1:9" ht="12.75">
      <c r="A37" s="91" t="s">
        <v>48</v>
      </c>
      <c r="B37" s="92"/>
      <c r="C37" s="92"/>
      <c r="D37" s="93"/>
      <c r="E37" s="94" t="s">
        <v>49</v>
      </c>
      <c r="F37" s="95" t="s">
        <v>50</v>
      </c>
      <c r="G37" s="96" t="s">
        <v>51</v>
      </c>
      <c r="H37" s="97"/>
      <c r="I37" s="98" t="s">
        <v>49</v>
      </c>
    </row>
    <row r="38" spans="1:53" ht="12.75">
      <c r="A38" s="99" t="s">
        <v>64</v>
      </c>
      <c r="B38" s="100"/>
      <c r="C38" s="100"/>
      <c r="D38" s="101"/>
      <c r="E38" s="102">
        <v>0</v>
      </c>
      <c r="F38" s="103">
        <v>0</v>
      </c>
      <c r="G38" s="104">
        <f aca="true" t="shared" si="0" ref="G38:G45">CHOOSE(BA38+1,HSV+PSV,HSV+PSV+Mont,HSV+PSV+Dodavka+Mont,HSV,PSV,Mont,Dodavka,Mont+Dodavka,0)</f>
        <v>0</v>
      </c>
      <c r="H38" s="105"/>
      <c r="I38" s="106">
        <f aca="true" t="shared" si="1" ref="I38:I45">E38+F38*G38/100</f>
        <v>0</v>
      </c>
      <c r="BA38">
        <v>0</v>
      </c>
    </row>
    <row r="39" spans="1:53" ht="12.75">
      <c r="A39" s="99" t="s">
        <v>65</v>
      </c>
      <c r="B39" s="100"/>
      <c r="C39" s="100"/>
      <c r="D39" s="101"/>
      <c r="E39" s="102">
        <v>0</v>
      </c>
      <c r="F39" s="103">
        <v>0</v>
      </c>
      <c r="G39" s="104">
        <f t="shared" si="0"/>
        <v>0</v>
      </c>
      <c r="H39" s="105"/>
      <c r="I39" s="106">
        <f t="shared" si="1"/>
        <v>0</v>
      </c>
      <c r="BA39">
        <v>0</v>
      </c>
    </row>
    <row r="40" spans="1:53" ht="12.75">
      <c r="A40" s="99" t="s">
        <v>66</v>
      </c>
      <c r="B40" s="100"/>
      <c r="C40" s="100"/>
      <c r="D40" s="101"/>
      <c r="E40" s="102">
        <v>0</v>
      </c>
      <c r="F40" s="103">
        <v>0</v>
      </c>
      <c r="G40" s="104">
        <f t="shared" si="0"/>
        <v>0</v>
      </c>
      <c r="H40" s="105"/>
      <c r="I40" s="106">
        <f t="shared" si="1"/>
        <v>0</v>
      </c>
      <c r="BA40">
        <v>0</v>
      </c>
    </row>
    <row r="41" spans="1:53" ht="12.75">
      <c r="A41" s="99" t="s">
        <v>67</v>
      </c>
      <c r="B41" s="100"/>
      <c r="C41" s="100"/>
      <c r="D41" s="101"/>
      <c r="E41" s="102">
        <v>0</v>
      </c>
      <c r="F41" s="103">
        <v>0</v>
      </c>
      <c r="G41" s="104">
        <f t="shared" si="0"/>
        <v>0</v>
      </c>
      <c r="H41" s="105"/>
      <c r="I41" s="106">
        <f t="shared" si="1"/>
        <v>0</v>
      </c>
      <c r="BA41">
        <v>0</v>
      </c>
    </row>
    <row r="42" spans="1:53" ht="12.75">
      <c r="A42" s="99" t="s">
        <v>68</v>
      </c>
      <c r="B42" s="100"/>
      <c r="C42" s="100"/>
      <c r="D42" s="101"/>
      <c r="E42" s="102">
        <v>0</v>
      </c>
      <c r="F42" s="103">
        <v>0</v>
      </c>
      <c r="G42" s="104">
        <f t="shared" si="0"/>
        <v>0</v>
      </c>
      <c r="H42" s="105"/>
      <c r="I42" s="106">
        <f t="shared" si="1"/>
        <v>0</v>
      </c>
      <c r="BA42">
        <v>1</v>
      </c>
    </row>
    <row r="43" spans="1:53" ht="12.75">
      <c r="A43" s="99" t="s">
        <v>69</v>
      </c>
      <c r="B43" s="100"/>
      <c r="C43" s="100"/>
      <c r="D43" s="101"/>
      <c r="E43" s="102">
        <v>0</v>
      </c>
      <c r="F43" s="103">
        <v>0</v>
      </c>
      <c r="G43" s="104">
        <f t="shared" si="0"/>
        <v>0</v>
      </c>
      <c r="H43" s="105"/>
      <c r="I43" s="106">
        <f t="shared" si="1"/>
        <v>0</v>
      </c>
      <c r="BA43">
        <v>1</v>
      </c>
    </row>
    <row r="44" spans="1:53" ht="12.75">
      <c r="A44" s="99" t="s">
        <v>70</v>
      </c>
      <c r="B44" s="100"/>
      <c r="C44" s="100"/>
      <c r="D44" s="101"/>
      <c r="E44" s="102">
        <v>0</v>
      </c>
      <c r="F44" s="103">
        <v>0</v>
      </c>
      <c r="G44" s="104">
        <f t="shared" si="0"/>
        <v>0</v>
      </c>
      <c r="H44" s="105"/>
      <c r="I44" s="106">
        <f t="shared" si="1"/>
        <v>0</v>
      </c>
      <c r="BA44">
        <v>2</v>
      </c>
    </row>
    <row r="45" spans="1:53" ht="12.75">
      <c r="A45" s="99" t="s">
        <v>71</v>
      </c>
      <c r="B45" s="100"/>
      <c r="C45" s="100"/>
      <c r="D45" s="101"/>
      <c r="E45" s="102">
        <v>0</v>
      </c>
      <c r="F45" s="103">
        <v>0</v>
      </c>
      <c r="G45" s="104">
        <f t="shared" si="0"/>
        <v>0</v>
      </c>
      <c r="H45" s="105"/>
      <c r="I45" s="106">
        <f t="shared" si="1"/>
        <v>0</v>
      </c>
      <c r="BA45">
        <v>2</v>
      </c>
    </row>
    <row r="46" spans="1:9" ht="13.5" thickBot="1">
      <c r="A46" s="107"/>
      <c r="B46" s="108" t="s">
        <v>52</v>
      </c>
      <c r="C46" s="109"/>
      <c r="D46" s="110"/>
      <c r="E46" s="111"/>
      <c r="F46" s="112"/>
      <c r="G46" s="112"/>
      <c r="H46" s="376">
        <f>SUM(I38:I45)</f>
        <v>0</v>
      </c>
      <c r="I46" s="377"/>
    </row>
    <row r="48" spans="2:9" ht="12.75">
      <c r="B48" s="89"/>
      <c r="F48" s="113"/>
      <c r="G48" s="114"/>
      <c r="H48" s="114"/>
      <c r="I48" s="115"/>
    </row>
    <row r="49" spans="6:9" ht="12.75">
      <c r="F49" s="113"/>
      <c r="G49" s="114"/>
      <c r="H49" s="114"/>
      <c r="I49" s="115"/>
    </row>
    <row r="50" spans="6:9" ht="12.75">
      <c r="F50" s="113"/>
      <c r="G50" s="114"/>
      <c r="H50" s="114"/>
      <c r="I50" s="115"/>
    </row>
    <row r="51" spans="6:9" ht="12.75">
      <c r="F51" s="113"/>
      <c r="G51" s="114"/>
      <c r="H51" s="114"/>
      <c r="I51" s="115"/>
    </row>
    <row r="52" spans="6:9" ht="12.75">
      <c r="F52" s="113"/>
      <c r="G52" s="114"/>
      <c r="H52" s="114"/>
      <c r="I52" s="115"/>
    </row>
    <row r="53" spans="6:9" ht="12.75">
      <c r="F53" s="113"/>
      <c r="G53" s="114"/>
      <c r="H53" s="114"/>
      <c r="I53" s="115"/>
    </row>
    <row r="54" spans="6:9" ht="12.75">
      <c r="F54" s="113"/>
      <c r="G54" s="114"/>
      <c r="H54" s="114"/>
      <c r="I54" s="115"/>
    </row>
    <row r="55" spans="6:9" ht="12.75">
      <c r="F55" s="113"/>
      <c r="G55" s="114"/>
      <c r="H55" s="114"/>
      <c r="I55" s="115"/>
    </row>
    <row r="56" spans="6:9" ht="12.75">
      <c r="F56" s="113"/>
      <c r="G56" s="114"/>
      <c r="H56" s="114"/>
      <c r="I56" s="115"/>
    </row>
    <row r="57" spans="6:9" ht="12.75">
      <c r="F57" s="113"/>
      <c r="G57" s="114"/>
      <c r="H57" s="114"/>
      <c r="I57" s="115"/>
    </row>
    <row r="58" spans="6:9" ht="12.75">
      <c r="F58" s="113"/>
      <c r="G58" s="114"/>
      <c r="H58" s="114"/>
      <c r="I58" s="115"/>
    </row>
    <row r="59" spans="6:9" ht="12.75">
      <c r="F59" s="113"/>
      <c r="G59" s="114"/>
      <c r="H59" s="114"/>
      <c r="I59" s="115"/>
    </row>
    <row r="60" spans="6:9" ht="12.75">
      <c r="F60" s="113"/>
      <c r="G60" s="114"/>
      <c r="H60" s="114"/>
      <c r="I60" s="115"/>
    </row>
    <row r="61" spans="6:9" ht="12.75">
      <c r="F61" s="113"/>
      <c r="G61" s="114"/>
      <c r="H61" s="114"/>
      <c r="I61" s="115"/>
    </row>
    <row r="62" spans="6:9" ht="12.75">
      <c r="F62" s="113"/>
      <c r="G62" s="114"/>
      <c r="H62" s="114"/>
      <c r="I62" s="115"/>
    </row>
    <row r="63" spans="6:9" ht="12.75">
      <c r="F63" s="113"/>
      <c r="G63" s="114"/>
      <c r="H63" s="114"/>
      <c r="I63" s="115"/>
    </row>
    <row r="64" spans="6:9" ht="12.75">
      <c r="F64" s="113"/>
      <c r="G64" s="114"/>
      <c r="H64" s="114"/>
      <c r="I64" s="115"/>
    </row>
    <row r="65" spans="6:9" ht="12.75">
      <c r="F65" s="113"/>
      <c r="G65" s="114"/>
      <c r="H65" s="114"/>
      <c r="I65" s="115"/>
    </row>
    <row r="66" spans="6:9" ht="12.75">
      <c r="F66" s="113"/>
      <c r="G66" s="114"/>
      <c r="H66" s="114"/>
      <c r="I66" s="115"/>
    </row>
    <row r="67" spans="6:9" ht="12.75">
      <c r="F67" s="113"/>
      <c r="G67" s="114"/>
      <c r="H67" s="114"/>
      <c r="I67" s="115"/>
    </row>
    <row r="68" spans="6:9" ht="12.75">
      <c r="F68" s="113"/>
      <c r="G68" s="114"/>
      <c r="H68" s="114"/>
      <c r="I68" s="115"/>
    </row>
    <row r="69" spans="6:9" ht="12.75">
      <c r="F69" s="113"/>
      <c r="G69" s="114"/>
      <c r="H69" s="114"/>
      <c r="I69" s="115"/>
    </row>
    <row r="70" spans="6:9" ht="12.75">
      <c r="F70" s="113"/>
      <c r="G70" s="114"/>
      <c r="H70" s="114"/>
      <c r="I70" s="115"/>
    </row>
    <row r="71" spans="6:9" ht="12.75">
      <c r="F71" s="113"/>
      <c r="G71" s="114"/>
      <c r="H71" s="114"/>
      <c r="I71" s="115"/>
    </row>
    <row r="72" spans="6:9" ht="12.75">
      <c r="F72" s="113"/>
      <c r="G72" s="114"/>
      <c r="H72" s="114"/>
      <c r="I72" s="115"/>
    </row>
    <row r="73" spans="6:9" ht="12.75">
      <c r="F73" s="113"/>
      <c r="G73" s="114"/>
      <c r="H73" s="114"/>
      <c r="I73" s="115"/>
    </row>
    <row r="74" spans="6:9" ht="12.75">
      <c r="F74" s="113"/>
      <c r="G74" s="114"/>
      <c r="H74" s="114"/>
      <c r="I74" s="115"/>
    </row>
    <row r="75" spans="6:9" ht="12.75">
      <c r="F75" s="113"/>
      <c r="G75" s="114"/>
      <c r="H75" s="114"/>
      <c r="I75" s="115"/>
    </row>
    <row r="76" spans="6:9" ht="12.75">
      <c r="F76" s="113"/>
      <c r="G76" s="114"/>
      <c r="H76" s="114"/>
      <c r="I76" s="115"/>
    </row>
    <row r="77" spans="6:9" ht="12.75">
      <c r="F77" s="113"/>
      <c r="G77" s="114"/>
      <c r="H77" s="114"/>
      <c r="I77" s="115"/>
    </row>
    <row r="78" spans="6:9" ht="12.75">
      <c r="F78" s="113"/>
      <c r="G78" s="114"/>
      <c r="H78" s="114"/>
      <c r="I78" s="115"/>
    </row>
    <row r="79" spans="6:9" ht="12.75">
      <c r="F79" s="113"/>
      <c r="G79" s="114"/>
      <c r="H79" s="114"/>
      <c r="I79" s="115"/>
    </row>
    <row r="80" spans="6:9" ht="12.75">
      <c r="F80" s="113"/>
      <c r="G80" s="114"/>
      <c r="H80" s="114"/>
      <c r="I80" s="115"/>
    </row>
    <row r="81" spans="6:9" ht="12.75">
      <c r="F81" s="113"/>
      <c r="G81" s="114"/>
      <c r="H81" s="114"/>
      <c r="I81" s="115"/>
    </row>
    <row r="82" spans="6:9" ht="12.75">
      <c r="F82" s="113"/>
      <c r="G82" s="114"/>
      <c r="H82" s="114"/>
      <c r="I82" s="115"/>
    </row>
    <row r="83" spans="6:9" ht="12.75">
      <c r="F83" s="113"/>
      <c r="G83" s="114"/>
      <c r="H83" s="114"/>
      <c r="I83" s="115"/>
    </row>
    <row r="84" spans="6:9" ht="12.75">
      <c r="F84" s="113"/>
      <c r="G84" s="114"/>
      <c r="H84" s="114"/>
      <c r="I84" s="115"/>
    </row>
    <row r="85" spans="6:9" ht="12.75">
      <c r="F85" s="113"/>
      <c r="G85" s="114"/>
      <c r="H85" s="114"/>
      <c r="I85" s="115"/>
    </row>
    <row r="86" spans="6:9" ht="12.75">
      <c r="F86" s="113"/>
      <c r="G86" s="114"/>
      <c r="H86" s="114"/>
      <c r="I86" s="115"/>
    </row>
    <row r="87" spans="6:9" ht="12.75">
      <c r="F87" s="113"/>
      <c r="G87" s="114"/>
      <c r="H87" s="114"/>
      <c r="I87" s="115"/>
    </row>
    <row r="88" spans="6:9" ht="12.75">
      <c r="F88" s="113"/>
      <c r="G88" s="114"/>
      <c r="H88" s="114"/>
      <c r="I88" s="115"/>
    </row>
    <row r="89" spans="6:9" ht="12.75">
      <c r="F89" s="113"/>
      <c r="G89" s="114"/>
      <c r="H89" s="114"/>
      <c r="I89" s="115"/>
    </row>
    <row r="90" spans="6:9" ht="12.75">
      <c r="F90" s="113"/>
      <c r="G90" s="114"/>
      <c r="H90" s="114"/>
      <c r="I90" s="115"/>
    </row>
    <row r="91" spans="6:9" ht="12.75">
      <c r="F91" s="113"/>
      <c r="G91" s="114"/>
      <c r="H91" s="114"/>
      <c r="I91" s="115"/>
    </row>
    <row r="92" spans="6:9" ht="12.75">
      <c r="F92" s="113"/>
      <c r="G92" s="114"/>
      <c r="H92" s="114"/>
      <c r="I92" s="115"/>
    </row>
    <row r="93" spans="6:9" ht="12.75">
      <c r="F93" s="113"/>
      <c r="G93" s="114"/>
      <c r="H93" s="114"/>
      <c r="I93" s="115"/>
    </row>
    <row r="94" spans="6:9" ht="12.75">
      <c r="F94" s="113"/>
      <c r="G94" s="114"/>
      <c r="H94" s="114"/>
      <c r="I94" s="115"/>
    </row>
    <row r="95" spans="6:9" ht="12.75">
      <c r="F95" s="113"/>
      <c r="G95" s="114"/>
      <c r="H95" s="114"/>
      <c r="I95" s="115"/>
    </row>
    <row r="96" spans="6:9" ht="12.75">
      <c r="F96" s="113"/>
      <c r="G96" s="114"/>
      <c r="H96" s="114"/>
      <c r="I96" s="115"/>
    </row>
    <row r="97" spans="6:9" ht="12.75">
      <c r="F97" s="113"/>
      <c r="G97" s="114"/>
      <c r="H97" s="114"/>
      <c r="I97" s="115"/>
    </row>
  </sheetData>
  <mergeCells count="4">
    <mergeCell ref="H46:I46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4"/>
  <sheetViews>
    <sheetView showGridLines="0" showZeros="0" workbookViewId="0" topLeftCell="A1">
      <selection activeCell="A1" sqref="A1:G545"/>
    </sheetView>
  </sheetViews>
  <sheetFormatPr defaultColWidth="9.00390625" defaultRowHeight="12.75"/>
  <cols>
    <col min="1" max="1" width="4.375" style="148" customWidth="1"/>
    <col min="2" max="2" width="11.625" style="148" customWidth="1"/>
    <col min="3" max="3" width="40.75390625" style="148" customWidth="1"/>
    <col min="4" max="4" width="5.875" style="148" customWidth="1"/>
    <col min="5" max="5" width="8.625" style="149" customWidth="1"/>
    <col min="6" max="6" width="11.00390625" style="148" customWidth="1"/>
    <col min="7" max="7" width="13.875" style="148" customWidth="1"/>
    <col min="8" max="8" width="15.875" style="127" customWidth="1"/>
    <col min="9" max="9" width="15.875" style="118" customWidth="1"/>
    <col min="10" max="11" width="12.00390625" style="119" customWidth="1"/>
    <col min="12" max="12" width="75.375" style="116" customWidth="1"/>
    <col min="13" max="16384" width="9.125" style="116" customWidth="1"/>
  </cols>
  <sheetData>
    <row r="1" spans="1:11" s="153" customFormat="1" ht="15.75">
      <c r="A1" s="385" t="s">
        <v>819</v>
      </c>
      <c r="B1" s="385"/>
      <c r="C1" s="385"/>
      <c r="D1" s="385"/>
      <c r="E1" s="385"/>
      <c r="F1" s="385"/>
      <c r="G1" s="385"/>
      <c r="H1" s="150"/>
      <c r="I1" s="151"/>
      <c r="J1" s="152"/>
      <c r="K1" s="152"/>
    </row>
    <row r="2" spans="2:11" s="153" customFormat="1" ht="13.5" thickBot="1">
      <c r="B2" s="154"/>
      <c r="C2" s="155"/>
      <c r="D2" s="155"/>
      <c r="E2" s="156"/>
      <c r="F2" s="155"/>
      <c r="G2" s="155"/>
      <c r="H2" s="150"/>
      <c r="I2" s="151"/>
      <c r="J2" s="152"/>
      <c r="K2" s="152"/>
    </row>
    <row r="3" spans="1:11" s="153" customFormat="1" ht="13.5" thickTop="1">
      <c r="A3" s="386" t="s">
        <v>3</v>
      </c>
      <c r="B3" s="387"/>
      <c r="C3" s="66" t="str">
        <f>CONCATENATE(cislostavby," ",nazevstavby)</f>
        <v xml:space="preserve"> Městská poliklinika Týn nad Vltavou,Sakařova 755</v>
      </c>
      <c r="D3" s="157"/>
      <c r="E3" s="158" t="s">
        <v>53</v>
      </c>
      <c r="F3" s="159">
        <f>Rekapitulace!H1</f>
        <v>0</v>
      </c>
      <c r="G3" s="160"/>
      <c r="H3" s="150"/>
      <c r="I3" s="151"/>
      <c r="J3" s="152"/>
      <c r="K3" s="152"/>
    </row>
    <row r="4" spans="1:11" s="153" customFormat="1" ht="13.5" thickBot="1">
      <c r="A4" s="388" t="s">
        <v>0</v>
      </c>
      <c r="B4" s="389"/>
      <c r="C4" s="72" t="str">
        <f>CONCATENATE(cisloobjektu," ",nazevobjektu)</f>
        <v xml:space="preserve"> Zateplení - II.etapa</v>
      </c>
      <c r="D4" s="161"/>
      <c r="E4" s="390">
        <f>Rekapitulace!G2</f>
        <v>0</v>
      </c>
      <c r="F4" s="391"/>
      <c r="G4" s="392"/>
      <c r="H4" s="150"/>
      <c r="I4" s="151"/>
      <c r="J4" s="152"/>
      <c r="K4" s="152"/>
    </row>
    <row r="5" spans="1:8" ht="12" thickTop="1">
      <c r="A5" s="116"/>
      <c r="B5" s="116"/>
      <c r="C5" s="116"/>
      <c r="D5" s="116"/>
      <c r="E5" s="162"/>
      <c r="F5" s="116"/>
      <c r="G5" s="139"/>
      <c r="H5" s="136"/>
    </row>
    <row r="6" spans="1:8" ht="12.75">
      <c r="A6" s="163" t="s">
        <v>54</v>
      </c>
      <c r="B6" s="164" t="s">
        <v>55</v>
      </c>
      <c r="C6" s="165" t="s">
        <v>56</v>
      </c>
      <c r="D6" s="166" t="s">
        <v>57</v>
      </c>
      <c r="E6" s="167" t="s">
        <v>58</v>
      </c>
      <c r="F6" s="164" t="s">
        <v>59</v>
      </c>
      <c r="G6" s="166" t="s">
        <v>60</v>
      </c>
      <c r="H6" s="136"/>
    </row>
    <row r="7" spans="1:11" s="143" customFormat="1" ht="12">
      <c r="A7" s="221" t="s">
        <v>61</v>
      </c>
      <c r="B7" s="261" t="s">
        <v>406</v>
      </c>
      <c r="C7" s="244" t="s">
        <v>407</v>
      </c>
      <c r="D7" s="222"/>
      <c r="E7" s="223"/>
      <c r="F7" s="262"/>
      <c r="G7" s="223"/>
      <c r="H7" s="140"/>
      <c r="I7" s="141"/>
      <c r="J7" s="142"/>
      <c r="K7" s="142"/>
    </row>
    <row r="8" spans="1:11" s="139" customFormat="1" ht="11.25" customHeight="1">
      <c r="A8" s="329" t="s">
        <v>712</v>
      </c>
      <c r="B8" s="279" t="s">
        <v>465</v>
      </c>
      <c r="C8" s="226" t="s">
        <v>466</v>
      </c>
      <c r="D8" s="227" t="s">
        <v>457</v>
      </c>
      <c r="E8" s="229">
        <f>SUM(E9)</f>
        <v>33.599999999999994</v>
      </c>
      <c r="F8" s="278"/>
      <c r="G8" s="229">
        <f>E8*F8</f>
        <v>0</v>
      </c>
      <c r="H8" s="136"/>
      <c r="I8" s="137"/>
      <c r="J8" s="138"/>
      <c r="K8" s="138"/>
    </row>
    <row r="9" spans="1:11" s="139" customFormat="1" ht="11.25" customHeight="1">
      <c r="A9" s="329"/>
      <c r="B9" s="279"/>
      <c r="C9" s="273" t="s">
        <v>490</v>
      </c>
      <c r="D9" s="227"/>
      <c r="E9" s="302">
        <f>40*0.6*1.4</f>
        <v>33.599999999999994</v>
      </c>
      <c r="F9" s="278"/>
      <c r="G9" s="229"/>
      <c r="H9" s="136"/>
      <c r="I9" s="137"/>
      <c r="J9" s="138"/>
      <c r="K9" s="138"/>
    </row>
    <row r="10" spans="1:11" s="139" customFormat="1" ht="11.25" customHeight="1">
      <c r="A10" s="329" t="s">
        <v>713</v>
      </c>
      <c r="B10" s="279" t="s">
        <v>467</v>
      </c>
      <c r="C10" s="226" t="s">
        <v>468</v>
      </c>
      <c r="D10" s="227" t="s">
        <v>457</v>
      </c>
      <c r="E10" s="229">
        <f>SUM(E11)</f>
        <v>25.2</v>
      </c>
      <c r="F10" s="278"/>
      <c r="G10" s="229">
        <f>E10*F10</f>
        <v>0</v>
      </c>
      <c r="H10" s="136"/>
      <c r="I10" s="137"/>
      <c r="J10" s="138"/>
      <c r="K10" s="138"/>
    </row>
    <row r="11" spans="1:11" s="272" customFormat="1" ht="11.25" customHeight="1">
      <c r="A11" s="263"/>
      <c r="B11" s="264"/>
      <c r="C11" s="273" t="s">
        <v>491</v>
      </c>
      <c r="D11" s="266"/>
      <c r="E11" s="302">
        <f>30*0.6*1.4</f>
        <v>25.2</v>
      </c>
      <c r="F11" s="267"/>
      <c r="G11" s="268"/>
      <c r="H11" s="269"/>
      <c r="I11" s="270"/>
      <c r="J11" s="271"/>
      <c r="K11" s="271"/>
    </row>
    <row r="12" spans="1:11" s="190" customFormat="1" ht="11.25" customHeight="1">
      <c r="A12" s="309" t="s">
        <v>714</v>
      </c>
      <c r="B12" s="310" t="s">
        <v>469</v>
      </c>
      <c r="C12" s="296" t="s">
        <v>470</v>
      </c>
      <c r="D12" s="247" t="s">
        <v>63</v>
      </c>
      <c r="E12" s="294">
        <f>SUM(E13:E14)</f>
        <v>196</v>
      </c>
      <c r="F12" s="313"/>
      <c r="G12" s="229">
        <f>E12*F12</f>
        <v>0</v>
      </c>
      <c r="H12" s="187"/>
      <c r="I12" s="188"/>
      <c r="J12" s="189"/>
      <c r="K12" s="189"/>
    </row>
    <row r="13" spans="1:11" s="272" customFormat="1" ht="11.25" customHeight="1">
      <c r="A13" s="263"/>
      <c r="B13" s="264"/>
      <c r="C13" s="273" t="s">
        <v>492</v>
      </c>
      <c r="D13" s="266"/>
      <c r="E13" s="302">
        <f>40*1.4*2</f>
        <v>112</v>
      </c>
      <c r="F13" s="267"/>
      <c r="G13" s="268"/>
      <c r="H13" s="269"/>
      <c r="I13" s="270"/>
      <c r="J13" s="271"/>
      <c r="K13" s="271"/>
    </row>
    <row r="14" spans="1:11" s="272" customFormat="1" ht="11.25" customHeight="1">
      <c r="A14" s="263"/>
      <c r="B14" s="264"/>
      <c r="C14" s="273" t="s">
        <v>493</v>
      </c>
      <c r="D14" s="266"/>
      <c r="E14" s="302">
        <f>30*1.4*2</f>
        <v>84</v>
      </c>
      <c r="F14" s="267"/>
      <c r="G14" s="268"/>
      <c r="H14" s="269"/>
      <c r="I14" s="270"/>
      <c r="J14" s="271"/>
      <c r="K14" s="271"/>
    </row>
    <row r="15" spans="1:11" s="139" customFormat="1" ht="11.25" customHeight="1">
      <c r="A15" s="329" t="s">
        <v>715</v>
      </c>
      <c r="B15" s="279" t="s">
        <v>471</v>
      </c>
      <c r="C15" s="296" t="s">
        <v>472</v>
      </c>
      <c r="D15" s="227" t="s">
        <v>63</v>
      </c>
      <c r="E15" s="229">
        <f>196</f>
        <v>196</v>
      </c>
      <c r="F15" s="278"/>
      <c r="G15" s="229">
        <f>E15*F15</f>
        <v>0</v>
      </c>
      <c r="H15" s="136"/>
      <c r="I15" s="137"/>
      <c r="J15" s="138"/>
      <c r="K15" s="138"/>
    </row>
    <row r="16" spans="1:11" s="139" customFormat="1" ht="11.25" customHeight="1">
      <c r="A16" s="329" t="s">
        <v>98</v>
      </c>
      <c r="B16" s="279" t="s">
        <v>477</v>
      </c>
      <c r="C16" s="296" t="s">
        <v>478</v>
      </c>
      <c r="D16" s="227" t="s">
        <v>457</v>
      </c>
      <c r="E16" s="229">
        <f>25.2</f>
        <v>25.2</v>
      </c>
      <c r="F16" s="278"/>
      <c r="G16" s="229">
        <f>E16*F16</f>
        <v>0</v>
      </c>
      <c r="H16" s="136"/>
      <c r="I16" s="137"/>
      <c r="J16" s="138"/>
      <c r="K16" s="138"/>
    </row>
    <row r="17" spans="1:11" s="139" customFormat="1" ht="11.25" customHeight="1">
      <c r="A17" s="329" t="s">
        <v>99</v>
      </c>
      <c r="B17" s="279" t="s">
        <v>479</v>
      </c>
      <c r="C17" s="296" t="s">
        <v>480</v>
      </c>
      <c r="D17" s="227" t="s">
        <v>457</v>
      </c>
      <c r="E17" s="229">
        <f>SUM(E18)</f>
        <v>100.8</v>
      </c>
      <c r="F17" s="278"/>
      <c r="G17" s="229">
        <f>E17*F17</f>
        <v>0</v>
      </c>
      <c r="H17" s="136"/>
      <c r="I17" s="137"/>
      <c r="J17" s="138"/>
      <c r="K17" s="138"/>
    </row>
    <row r="18" spans="1:11" s="195" customFormat="1" ht="11.25" customHeight="1">
      <c r="A18" s="341"/>
      <c r="B18" s="331"/>
      <c r="C18" s="191" t="s">
        <v>720</v>
      </c>
      <c r="D18" s="240"/>
      <c r="E18" s="242">
        <f>25.2*4</f>
        <v>100.8</v>
      </c>
      <c r="F18" s="332"/>
      <c r="G18" s="242"/>
      <c r="H18" s="192"/>
      <c r="I18" s="193"/>
      <c r="J18" s="194"/>
      <c r="K18" s="194"/>
    </row>
    <row r="19" spans="1:11" s="190" customFormat="1" ht="11.25" customHeight="1">
      <c r="A19" s="309" t="s">
        <v>716</v>
      </c>
      <c r="B19" s="310" t="s">
        <v>473</v>
      </c>
      <c r="C19" s="296" t="s">
        <v>474</v>
      </c>
      <c r="D19" s="247" t="s">
        <v>457</v>
      </c>
      <c r="E19" s="249">
        <f>58.8</f>
        <v>58.8</v>
      </c>
      <c r="F19" s="313"/>
      <c r="G19" s="229">
        <f>E19*F19</f>
        <v>0</v>
      </c>
      <c r="H19" s="187"/>
      <c r="I19" s="188"/>
      <c r="J19" s="189"/>
      <c r="K19" s="189"/>
    </row>
    <row r="20" spans="1:11" s="190" customFormat="1" ht="11.25" customHeight="1">
      <c r="A20" s="309" t="s">
        <v>717</v>
      </c>
      <c r="B20" s="310" t="s">
        <v>475</v>
      </c>
      <c r="C20" s="296" t="s">
        <v>476</v>
      </c>
      <c r="D20" s="247" t="s">
        <v>457</v>
      </c>
      <c r="E20" s="294">
        <f>SUM(E21)</f>
        <v>294</v>
      </c>
      <c r="F20" s="313"/>
      <c r="G20" s="229">
        <f>E20*F20</f>
        <v>0</v>
      </c>
      <c r="H20" s="187"/>
      <c r="I20" s="188"/>
      <c r="J20" s="189"/>
      <c r="K20" s="189"/>
    </row>
    <row r="21" spans="1:11" s="272" customFormat="1" ht="11.25" customHeight="1">
      <c r="A21" s="263"/>
      <c r="B21" s="264"/>
      <c r="C21" s="273" t="s">
        <v>721</v>
      </c>
      <c r="D21" s="266"/>
      <c r="E21" s="302">
        <f>58.8*5</f>
        <v>294</v>
      </c>
      <c r="F21" s="267"/>
      <c r="G21" s="268"/>
      <c r="H21" s="269"/>
      <c r="I21" s="270"/>
      <c r="J21" s="271"/>
      <c r="K21" s="271"/>
    </row>
    <row r="22" spans="1:11" s="190" customFormat="1" ht="11.25" customHeight="1">
      <c r="A22" s="309" t="s">
        <v>718</v>
      </c>
      <c r="B22" s="310" t="s">
        <v>481</v>
      </c>
      <c r="C22" s="333" t="s">
        <v>482</v>
      </c>
      <c r="D22" s="247" t="s">
        <v>63</v>
      </c>
      <c r="E22" s="294">
        <f>SUM(E23)</f>
        <v>42</v>
      </c>
      <c r="F22" s="313"/>
      <c r="G22" s="229">
        <f>E22*F22</f>
        <v>0</v>
      </c>
      <c r="H22" s="187"/>
      <c r="I22" s="296"/>
      <c r="J22" s="189"/>
      <c r="K22" s="189"/>
    </row>
    <row r="23" spans="1:11" s="272" customFormat="1" ht="11.25" customHeight="1">
      <c r="A23" s="263"/>
      <c r="B23" s="264"/>
      <c r="C23" s="273" t="s">
        <v>485</v>
      </c>
      <c r="D23" s="266"/>
      <c r="E23" s="302">
        <f>(40+30)*0.6</f>
        <v>42</v>
      </c>
      <c r="F23" s="267"/>
      <c r="G23" s="268"/>
      <c r="H23" s="269"/>
      <c r="I23" s="273"/>
      <c r="J23" s="271"/>
      <c r="K23" s="271"/>
    </row>
    <row r="24" spans="1:11" s="190" customFormat="1" ht="11.25" customHeight="1">
      <c r="A24" s="309" t="s">
        <v>719</v>
      </c>
      <c r="B24" s="310" t="s">
        <v>483</v>
      </c>
      <c r="C24" s="333" t="s">
        <v>484</v>
      </c>
      <c r="D24" s="247" t="s">
        <v>457</v>
      </c>
      <c r="E24" s="294">
        <f>58.8</f>
        <v>58.8</v>
      </c>
      <c r="F24" s="313"/>
      <c r="G24" s="229">
        <f>E24*F24</f>
        <v>0</v>
      </c>
      <c r="H24" s="187"/>
      <c r="I24" s="333"/>
      <c r="J24" s="189"/>
      <c r="K24" s="189"/>
    </row>
    <row r="25" spans="1:11" s="147" customFormat="1" ht="12">
      <c r="A25" s="274"/>
      <c r="B25" s="275" t="s">
        <v>62</v>
      </c>
      <c r="C25" s="231" t="str">
        <f>CONCATENATE(B7," ",C7)</f>
        <v>001 Zemní práce</v>
      </c>
      <c r="D25" s="232"/>
      <c r="E25" s="276"/>
      <c r="F25" s="232"/>
      <c r="G25" s="234">
        <f>SUM(G7:G24)</f>
        <v>0</v>
      </c>
      <c r="H25" s="144"/>
      <c r="I25" s="273"/>
      <c r="J25" s="146"/>
      <c r="K25" s="146"/>
    </row>
    <row r="26" spans="1:11" s="199" customFormat="1" ht="12">
      <c r="A26" s="318" t="s">
        <v>61</v>
      </c>
      <c r="B26" s="319" t="s">
        <v>81</v>
      </c>
      <c r="C26" s="320" t="s">
        <v>82</v>
      </c>
      <c r="D26" s="321"/>
      <c r="E26" s="322"/>
      <c r="F26" s="361"/>
      <c r="G26" s="322"/>
      <c r="H26" s="196"/>
      <c r="I26" s="296"/>
      <c r="J26" s="198"/>
      <c r="K26" s="198"/>
    </row>
    <row r="27" spans="1:11" s="190" customFormat="1" ht="11.25" customHeight="1">
      <c r="A27" s="309" t="s">
        <v>722</v>
      </c>
      <c r="B27" s="310" t="s">
        <v>612</v>
      </c>
      <c r="C27" s="296" t="s">
        <v>613</v>
      </c>
      <c r="D27" s="247" t="s">
        <v>457</v>
      </c>
      <c r="E27" s="249">
        <f>SUM(E28)</f>
        <v>1.5</v>
      </c>
      <c r="F27" s="313"/>
      <c r="G27" s="249">
        <f>E27*F27</f>
        <v>0</v>
      </c>
      <c r="H27" s="187"/>
      <c r="I27" s="188"/>
      <c r="J27" s="189"/>
      <c r="K27" s="189"/>
    </row>
    <row r="28" spans="1:11" s="195" customFormat="1" ht="11.25" customHeight="1">
      <c r="A28" s="341"/>
      <c r="B28" s="331"/>
      <c r="C28" s="191" t="s">
        <v>642</v>
      </c>
      <c r="D28" s="240"/>
      <c r="E28" s="242">
        <f>1.5</f>
        <v>1.5</v>
      </c>
      <c r="F28" s="332"/>
      <c r="G28" s="242"/>
      <c r="H28" s="192"/>
      <c r="I28" s="191"/>
      <c r="J28" s="194"/>
      <c r="K28" s="194"/>
    </row>
    <row r="29" spans="1:11" s="190" customFormat="1" ht="22.5" customHeight="1">
      <c r="A29" s="311" t="s">
        <v>723</v>
      </c>
      <c r="B29" s="312" t="s">
        <v>447</v>
      </c>
      <c r="C29" s="257" t="s">
        <v>448</v>
      </c>
      <c r="D29" s="247" t="s">
        <v>63</v>
      </c>
      <c r="E29" s="249">
        <f>SUM(E30:E33)</f>
        <v>58.50000000000001</v>
      </c>
      <c r="F29" s="313"/>
      <c r="G29" s="249">
        <f>E29*F29</f>
        <v>0</v>
      </c>
      <c r="H29" s="187"/>
      <c r="I29" s="188"/>
      <c r="J29" s="189"/>
      <c r="K29" s="189"/>
    </row>
    <row r="30" spans="1:11" s="195" customFormat="1" ht="11.25" customHeight="1">
      <c r="A30" s="341"/>
      <c r="B30" s="331"/>
      <c r="C30" s="191" t="s">
        <v>454</v>
      </c>
      <c r="D30" s="240"/>
      <c r="E30" s="242"/>
      <c r="F30" s="332"/>
      <c r="G30" s="242"/>
      <c r="H30" s="192"/>
      <c r="I30" s="191"/>
      <c r="J30" s="194"/>
      <c r="K30" s="194"/>
    </row>
    <row r="31" spans="1:11" s="195" customFormat="1" ht="11.25" customHeight="1">
      <c r="A31" s="341"/>
      <c r="B31" s="331"/>
      <c r="C31" s="191" t="s">
        <v>449</v>
      </c>
      <c r="D31" s="240"/>
      <c r="E31" s="287">
        <f>0.4*3.25*5+0.4*3*15</f>
        <v>24.500000000000004</v>
      </c>
      <c r="F31" s="332"/>
      <c r="G31" s="242"/>
      <c r="H31" s="192"/>
      <c r="I31" s="191"/>
      <c r="J31" s="194"/>
      <c r="K31" s="194"/>
    </row>
    <row r="32" spans="1:11" s="195" customFormat="1" ht="11.25" customHeight="1">
      <c r="A32" s="341"/>
      <c r="B32" s="331"/>
      <c r="C32" s="191" t="s">
        <v>450</v>
      </c>
      <c r="D32" s="240"/>
      <c r="E32" s="287">
        <f>0.4*3.25+0.4*3*11</f>
        <v>14.500000000000004</v>
      </c>
      <c r="F32" s="332"/>
      <c r="G32" s="242"/>
      <c r="H32" s="192"/>
      <c r="I32" s="191"/>
      <c r="J32" s="194"/>
      <c r="K32" s="194"/>
    </row>
    <row r="33" spans="1:11" s="195" customFormat="1" ht="11.25" customHeight="1">
      <c r="A33" s="341"/>
      <c r="B33" s="331"/>
      <c r="C33" s="191" t="s">
        <v>451</v>
      </c>
      <c r="D33" s="240"/>
      <c r="E33" s="287">
        <f>0.4*3.25*3+0.4*3*13</f>
        <v>19.5</v>
      </c>
      <c r="F33" s="332"/>
      <c r="G33" s="242"/>
      <c r="H33" s="192"/>
      <c r="I33" s="191"/>
      <c r="J33" s="194"/>
      <c r="K33" s="194"/>
    </row>
    <row r="34" spans="1:11" s="190" customFormat="1" ht="22.5" customHeight="1">
      <c r="A34" s="311" t="s">
        <v>724</v>
      </c>
      <c r="B34" s="312" t="s">
        <v>408</v>
      </c>
      <c r="C34" s="257" t="s">
        <v>409</v>
      </c>
      <c r="D34" s="247" t="s">
        <v>63</v>
      </c>
      <c r="E34" s="249">
        <f>SUM(E35:E46)</f>
        <v>455.02250000000004</v>
      </c>
      <c r="F34" s="313"/>
      <c r="G34" s="249">
        <f>E34*F34</f>
        <v>0</v>
      </c>
      <c r="H34" s="187"/>
      <c r="I34" s="188"/>
      <c r="J34" s="189"/>
      <c r="K34" s="189"/>
    </row>
    <row r="35" spans="1:11" s="195" customFormat="1" ht="11.25" customHeight="1">
      <c r="A35" s="341"/>
      <c r="B35" s="331"/>
      <c r="C35" s="191" t="s">
        <v>410</v>
      </c>
      <c r="D35" s="240"/>
      <c r="E35" s="287">
        <f>(8.225+3.45*3+2.25+3.425+3.25)*3.25</f>
        <v>89.37500000000001</v>
      </c>
      <c r="F35" s="332"/>
      <c r="G35" s="242"/>
      <c r="H35" s="192"/>
      <c r="I35" s="191"/>
      <c r="J35" s="194"/>
      <c r="K35" s="194"/>
    </row>
    <row r="36" spans="1:11" s="195" customFormat="1" ht="11.25" customHeight="1">
      <c r="A36" s="341"/>
      <c r="B36" s="331"/>
      <c r="C36" s="216" t="s">
        <v>411</v>
      </c>
      <c r="D36" s="240"/>
      <c r="E36" s="287">
        <f>-((5.4*1.5*3)+(6.6*1.5)+(2.4*1.85))</f>
        <v>-38.64</v>
      </c>
      <c r="F36" s="332"/>
      <c r="G36" s="242"/>
      <c r="H36" s="192"/>
      <c r="I36" s="191"/>
      <c r="J36" s="194"/>
      <c r="K36" s="194"/>
    </row>
    <row r="37" spans="1:11" s="195" customFormat="1" ht="22.5" customHeight="1">
      <c r="A37" s="341"/>
      <c r="B37" s="331"/>
      <c r="C37" s="259" t="s">
        <v>412</v>
      </c>
      <c r="D37" s="240"/>
      <c r="E37" s="287">
        <f>(4.575+2.35*2+4.55+2.2+4.65+3.425*4+3.25*3+2.375*2+4.5+3.45*2+3.475+2.25+4.625+3.35*2+4.775)*3</f>
        <v>246.3</v>
      </c>
      <c r="F37" s="191"/>
      <c r="G37" s="242"/>
      <c r="H37" s="192"/>
      <c r="I37" s="191"/>
      <c r="J37" s="194"/>
      <c r="K37" s="194"/>
    </row>
    <row r="38" spans="1:11" s="195" customFormat="1" ht="11.25" customHeight="1">
      <c r="A38" s="341"/>
      <c r="B38" s="331"/>
      <c r="C38" s="216" t="s">
        <v>413</v>
      </c>
      <c r="D38" s="240"/>
      <c r="E38" s="287">
        <f>-((5.4*1.85*9)+(6.6*1.85*3)+(2.4*1.85*3))</f>
        <v>-139.86</v>
      </c>
      <c r="F38" s="332"/>
      <c r="G38" s="242"/>
      <c r="H38" s="192"/>
      <c r="I38" s="191"/>
      <c r="J38" s="194"/>
      <c r="K38" s="194"/>
    </row>
    <row r="39" spans="1:11" s="195" customFormat="1" ht="11.25" customHeight="1">
      <c r="A39" s="341"/>
      <c r="B39" s="331"/>
      <c r="C39" s="191" t="s">
        <v>414</v>
      </c>
      <c r="D39" s="240"/>
      <c r="E39" s="287">
        <f>(8.225*2+5.9)*3.25</f>
        <v>72.6375</v>
      </c>
      <c r="F39" s="368"/>
      <c r="G39" s="242"/>
      <c r="H39" s="192"/>
      <c r="I39" s="191"/>
      <c r="J39" s="194"/>
      <c r="K39" s="194"/>
    </row>
    <row r="40" spans="1:11" s="195" customFormat="1" ht="11.25" customHeight="1">
      <c r="A40" s="341"/>
      <c r="B40" s="331"/>
      <c r="C40" s="216" t="s">
        <v>415</v>
      </c>
      <c r="D40" s="240"/>
      <c r="E40" s="287">
        <f>-((5.4*1.65)+(6.6*1.5)+(2.1*1.5*2)+(3.3*1.5))</f>
        <v>-30.06</v>
      </c>
      <c r="F40" s="332"/>
      <c r="G40" s="242"/>
      <c r="H40" s="192"/>
      <c r="I40" s="191"/>
      <c r="J40" s="194"/>
      <c r="K40" s="194"/>
    </row>
    <row r="41" spans="1:11" s="195" customFormat="1" ht="33.75" customHeight="1">
      <c r="A41" s="341"/>
      <c r="B41" s="331"/>
      <c r="C41" s="259" t="s">
        <v>416</v>
      </c>
      <c r="D41" s="240"/>
      <c r="E41" s="287">
        <f>(3.425*2+2.375*3+7.05+2.15+2.25+3.493+3.451+3.25*2+5.95+3.35+3.3*2+3.325+3.55+2.2+2.225+3.575*2+2.125*2+4.525)*3</f>
        <v>245.98200000000003</v>
      </c>
      <c r="F41" s="332"/>
      <c r="G41" s="242"/>
      <c r="H41" s="192"/>
      <c r="I41" s="191"/>
      <c r="J41" s="194"/>
      <c r="K41" s="194"/>
    </row>
    <row r="42" spans="1:11" s="195" customFormat="1" ht="11.25" customHeight="1">
      <c r="A42" s="341"/>
      <c r="B42" s="331"/>
      <c r="C42" s="216" t="s">
        <v>413</v>
      </c>
      <c r="D42" s="240"/>
      <c r="E42" s="287">
        <f>-((5.4*1.85*9)+(6.6*1.85*3)+(2.4*1.85*3))</f>
        <v>-139.86</v>
      </c>
      <c r="F42" s="332"/>
      <c r="G42" s="242"/>
      <c r="H42" s="192"/>
      <c r="I42" s="191"/>
      <c r="J42" s="194"/>
      <c r="K42" s="194"/>
    </row>
    <row r="43" spans="1:11" s="195" customFormat="1" ht="11.25" customHeight="1">
      <c r="A43" s="341"/>
      <c r="B43" s="331"/>
      <c r="C43" s="216" t="s">
        <v>417</v>
      </c>
      <c r="D43" s="240"/>
      <c r="E43" s="287">
        <f>(8.23+2.22+2.15+2.375+3.325+2.35)*3.25</f>
        <v>67.11250000000001</v>
      </c>
      <c r="F43" s="332"/>
      <c r="G43" s="242"/>
      <c r="H43" s="192"/>
      <c r="I43" s="191"/>
      <c r="J43" s="194"/>
      <c r="K43" s="194"/>
    </row>
    <row r="44" spans="1:11" s="195" customFormat="1" ht="11.25" customHeight="1">
      <c r="A44" s="341"/>
      <c r="B44" s="331"/>
      <c r="C44" s="216" t="s">
        <v>418</v>
      </c>
      <c r="D44" s="240"/>
      <c r="E44" s="287">
        <f>-((5.4*1.5*2)+(6.6*1.5)+(1*1.2))</f>
        <v>-27.3</v>
      </c>
      <c r="F44" s="332"/>
      <c r="G44" s="242"/>
      <c r="H44" s="192"/>
      <c r="I44" s="191"/>
      <c r="J44" s="194"/>
      <c r="K44" s="194"/>
    </row>
    <row r="45" spans="1:11" s="195" customFormat="1" ht="22.5" customHeight="1">
      <c r="A45" s="341"/>
      <c r="B45" s="331"/>
      <c r="C45" s="259" t="s">
        <v>419</v>
      </c>
      <c r="D45" s="240"/>
      <c r="E45" s="287">
        <f>(4.65+2.2+2.277+3.324+2.375*5+3.325*2+2.4+3.4+3.25+3.425*2+3.35*4+3.575*2+2.225*2+3.3*2+3.325)*3</f>
        <v>245.40300000000002</v>
      </c>
      <c r="F45" s="332"/>
      <c r="G45" s="242"/>
      <c r="H45" s="192"/>
      <c r="I45" s="191"/>
      <c r="J45" s="194"/>
      <c r="K45" s="194"/>
    </row>
    <row r="46" spans="1:11" s="195" customFormat="1" ht="11.25" customHeight="1">
      <c r="A46" s="341"/>
      <c r="B46" s="331"/>
      <c r="C46" s="216" t="s">
        <v>420</v>
      </c>
      <c r="D46" s="240"/>
      <c r="E46" s="287">
        <f>-((5.4*1.85*8)+(6.6*1.85*3)+(3.35*1.85)+(2.4*1.85*3))</f>
        <v>-136.06750000000002</v>
      </c>
      <c r="F46" s="332"/>
      <c r="G46" s="242"/>
      <c r="H46" s="192"/>
      <c r="I46" s="191"/>
      <c r="J46" s="194"/>
      <c r="K46" s="194"/>
    </row>
    <row r="47" spans="1:11" s="190" customFormat="1" ht="22.5" customHeight="1">
      <c r="A47" s="311" t="s">
        <v>725</v>
      </c>
      <c r="B47" s="312" t="s">
        <v>421</v>
      </c>
      <c r="C47" s="257" t="s">
        <v>425</v>
      </c>
      <c r="D47" s="247" t="s">
        <v>80</v>
      </c>
      <c r="E47" s="249">
        <f>SUM(E48:E50)</f>
        <v>94.2</v>
      </c>
      <c r="F47" s="313"/>
      <c r="G47" s="249">
        <f>E47*F47</f>
        <v>0</v>
      </c>
      <c r="H47" s="187"/>
      <c r="I47" s="188"/>
      <c r="J47" s="189"/>
      <c r="K47" s="189"/>
    </row>
    <row r="48" spans="1:11" s="195" customFormat="1" ht="11.25" customHeight="1">
      <c r="A48" s="341"/>
      <c r="B48" s="331"/>
      <c r="C48" s="191" t="s">
        <v>424</v>
      </c>
      <c r="D48" s="240"/>
      <c r="E48" s="287">
        <f>38.6</f>
        <v>38.6</v>
      </c>
      <c r="F48" s="332"/>
      <c r="G48" s="242"/>
      <c r="H48" s="192"/>
      <c r="I48" s="191"/>
      <c r="J48" s="194"/>
      <c r="K48" s="194"/>
    </row>
    <row r="49" spans="1:11" s="195" customFormat="1" ht="11.25" customHeight="1">
      <c r="A49" s="341"/>
      <c r="B49" s="331"/>
      <c r="C49" s="191" t="s">
        <v>423</v>
      </c>
      <c r="D49" s="240"/>
      <c r="E49" s="287">
        <f>25.55</f>
        <v>25.55</v>
      </c>
      <c r="F49" s="332"/>
      <c r="G49" s="242"/>
      <c r="H49" s="192"/>
      <c r="I49" s="191"/>
      <c r="J49" s="194"/>
      <c r="K49" s="194"/>
    </row>
    <row r="50" spans="1:11" s="195" customFormat="1" ht="11.25" customHeight="1">
      <c r="A50" s="341"/>
      <c r="B50" s="331"/>
      <c r="C50" s="191" t="s">
        <v>422</v>
      </c>
      <c r="D50" s="240"/>
      <c r="E50" s="287">
        <f>30.05</f>
        <v>30.05</v>
      </c>
      <c r="F50" s="332"/>
      <c r="G50" s="242"/>
      <c r="H50" s="192"/>
      <c r="I50" s="191"/>
      <c r="J50" s="194"/>
      <c r="K50" s="194"/>
    </row>
    <row r="51" spans="1:11" s="317" customFormat="1" ht="12">
      <c r="A51" s="323"/>
      <c r="B51" s="324" t="s">
        <v>62</v>
      </c>
      <c r="C51" s="325" t="str">
        <f>CONCATENATE(B26," ",C26)</f>
        <v>003 Svislé a kompletní konstrukce</v>
      </c>
      <c r="D51" s="326"/>
      <c r="E51" s="327"/>
      <c r="F51" s="326"/>
      <c r="G51" s="328">
        <f>SUM(G26:G50)</f>
        <v>0</v>
      </c>
      <c r="H51" s="315"/>
      <c r="I51" s="191"/>
      <c r="J51" s="316"/>
      <c r="K51" s="316"/>
    </row>
    <row r="52" spans="1:11" s="199" customFormat="1" ht="12">
      <c r="A52" s="318" t="s">
        <v>61</v>
      </c>
      <c r="B52" s="319" t="s">
        <v>633</v>
      </c>
      <c r="C52" s="335" t="s">
        <v>632</v>
      </c>
      <c r="D52" s="321"/>
      <c r="E52" s="322"/>
      <c r="F52" s="322"/>
      <c r="G52" s="322"/>
      <c r="H52" s="196"/>
      <c r="I52" s="296"/>
      <c r="J52" s="198"/>
      <c r="K52" s="198"/>
    </row>
    <row r="53" spans="1:11" s="190" customFormat="1" ht="33.75" customHeight="1">
      <c r="A53" s="311" t="s">
        <v>726</v>
      </c>
      <c r="B53" s="298">
        <v>417320000</v>
      </c>
      <c r="C53" s="250" t="s">
        <v>683</v>
      </c>
      <c r="D53" s="247" t="s">
        <v>80</v>
      </c>
      <c r="E53" s="249">
        <v>48.5</v>
      </c>
      <c r="F53" s="249"/>
      <c r="G53" s="249">
        <f>E53*F53</f>
        <v>0</v>
      </c>
      <c r="H53" s="187"/>
      <c r="I53" s="296"/>
      <c r="J53" s="189"/>
      <c r="K53" s="189"/>
    </row>
    <row r="54" spans="1:11" s="190" customFormat="1" ht="22.5" customHeight="1">
      <c r="A54" s="311" t="s">
        <v>727</v>
      </c>
      <c r="B54" s="298">
        <v>417320001</v>
      </c>
      <c r="C54" s="250" t="s">
        <v>684</v>
      </c>
      <c r="D54" s="247" t="s">
        <v>80</v>
      </c>
      <c r="E54" s="249">
        <v>83.4</v>
      </c>
      <c r="F54" s="249"/>
      <c r="G54" s="249">
        <f>E54*F54</f>
        <v>0</v>
      </c>
      <c r="H54" s="187"/>
      <c r="I54" s="296"/>
      <c r="J54" s="189"/>
      <c r="K54" s="189"/>
    </row>
    <row r="55" spans="1:11" s="317" customFormat="1" ht="12">
      <c r="A55" s="362"/>
      <c r="B55" s="324" t="s">
        <v>62</v>
      </c>
      <c r="C55" s="325" t="str">
        <f>CONCATENATE(B52," ",C52)</f>
        <v>004 Vodorovné konstrukce</v>
      </c>
      <c r="D55" s="326"/>
      <c r="E55" s="327"/>
      <c r="F55" s="326"/>
      <c r="G55" s="328">
        <f>SUM(G52:G54)</f>
        <v>0</v>
      </c>
      <c r="H55" s="315"/>
      <c r="I55" s="191"/>
      <c r="J55" s="316"/>
      <c r="K55" s="316"/>
    </row>
    <row r="56" spans="1:11" s="199" customFormat="1" ht="12">
      <c r="A56" s="318" t="s">
        <v>61</v>
      </c>
      <c r="B56" s="319" t="s">
        <v>537</v>
      </c>
      <c r="C56" s="335" t="s">
        <v>538</v>
      </c>
      <c r="D56" s="321"/>
      <c r="E56" s="322"/>
      <c r="F56" s="322"/>
      <c r="G56" s="322"/>
      <c r="H56" s="196"/>
      <c r="I56" s="296"/>
      <c r="J56" s="198"/>
      <c r="K56" s="198"/>
    </row>
    <row r="57" spans="1:11" s="190" customFormat="1" ht="11.25" customHeight="1">
      <c r="A57" s="309" t="s">
        <v>730</v>
      </c>
      <c r="B57" s="295" t="s">
        <v>539</v>
      </c>
      <c r="C57" s="299" t="s">
        <v>540</v>
      </c>
      <c r="D57" s="247" t="s">
        <v>63</v>
      </c>
      <c r="E57" s="249">
        <f>SUM(E58:E59)</f>
        <v>50</v>
      </c>
      <c r="F57" s="249"/>
      <c r="G57" s="249">
        <f>E57*F57</f>
        <v>0</v>
      </c>
      <c r="H57" s="187"/>
      <c r="I57" s="188"/>
      <c r="J57" s="189"/>
      <c r="K57" s="189"/>
    </row>
    <row r="58" spans="1:11" s="190" customFormat="1" ht="11.25" customHeight="1">
      <c r="A58" s="309"/>
      <c r="B58" s="295"/>
      <c r="C58" s="216" t="s">
        <v>463</v>
      </c>
      <c r="D58" s="247"/>
      <c r="E58" s="242">
        <f>40*0.5</f>
        <v>20</v>
      </c>
      <c r="F58" s="249"/>
      <c r="G58" s="249"/>
      <c r="H58" s="187"/>
      <c r="I58" s="296"/>
      <c r="J58" s="189"/>
      <c r="K58" s="189"/>
    </row>
    <row r="59" spans="1:11" s="190" customFormat="1" ht="11.25" customHeight="1">
      <c r="A59" s="309"/>
      <c r="B59" s="295"/>
      <c r="C59" s="216" t="s">
        <v>464</v>
      </c>
      <c r="D59" s="247"/>
      <c r="E59" s="242">
        <f>30*1</f>
        <v>30</v>
      </c>
      <c r="F59" s="249"/>
      <c r="G59" s="249"/>
      <c r="H59" s="187"/>
      <c r="I59" s="296"/>
      <c r="J59" s="189"/>
      <c r="K59" s="189"/>
    </row>
    <row r="60" spans="1:11" s="190" customFormat="1" ht="11.25" customHeight="1">
      <c r="A60" s="309" t="s">
        <v>731</v>
      </c>
      <c r="B60" s="295" t="s">
        <v>541</v>
      </c>
      <c r="C60" s="299" t="s">
        <v>542</v>
      </c>
      <c r="D60" s="247" t="s">
        <v>63</v>
      </c>
      <c r="E60" s="249">
        <f>50</f>
        <v>50</v>
      </c>
      <c r="F60" s="249"/>
      <c r="G60" s="249">
        <f>E60*F60</f>
        <v>0</v>
      </c>
      <c r="H60" s="187"/>
      <c r="I60" s="188"/>
      <c r="J60" s="189"/>
      <c r="K60" s="189"/>
    </row>
    <row r="61" spans="1:11" s="190" customFormat="1" ht="22.5" customHeight="1">
      <c r="A61" s="311" t="s">
        <v>732</v>
      </c>
      <c r="B61" s="298">
        <v>596841111</v>
      </c>
      <c r="C61" s="250" t="s">
        <v>543</v>
      </c>
      <c r="D61" s="247" t="s">
        <v>63</v>
      </c>
      <c r="E61" s="249">
        <f>50</f>
        <v>50</v>
      </c>
      <c r="F61" s="249"/>
      <c r="G61" s="249">
        <f>E61*F61</f>
        <v>0</v>
      </c>
      <c r="H61" s="187"/>
      <c r="I61" s="188"/>
      <c r="J61" s="189"/>
      <c r="K61" s="189"/>
    </row>
    <row r="62" spans="1:11" s="190" customFormat="1" ht="11.25" customHeight="1">
      <c r="A62" s="309" t="s">
        <v>733</v>
      </c>
      <c r="B62" s="295" t="s">
        <v>728</v>
      </c>
      <c r="C62" s="299" t="s">
        <v>729</v>
      </c>
      <c r="D62" s="247" t="s">
        <v>93</v>
      </c>
      <c r="E62" s="249">
        <f>40.54</f>
        <v>40.54</v>
      </c>
      <c r="F62" s="249"/>
      <c r="G62" s="249">
        <f>E62*F62</f>
        <v>0</v>
      </c>
      <c r="H62" s="187"/>
      <c r="I62" s="296"/>
      <c r="J62" s="189"/>
      <c r="K62" s="189"/>
    </row>
    <row r="63" spans="1:11" s="317" customFormat="1" ht="12">
      <c r="A63" s="323"/>
      <c r="B63" s="324" t="s">
        <v>62</v>
      </c>
      <c r="C63" s="325" t="str">
        <f>CONCATENATE(B56," ",C56)</f>
        <v>005 Komunikace pozemní a letiště</v>
      </c>
      <c r="D63" s="326"/>
      <c r="E63" s="327"/>
      <c r="F63" s="326"/>
      <c r="G63" s="328">
        <f>SUM(G56:G62)</f>
        <v>0</v>
      </c>
      <c r="H63" s="315"/>
      <c r="I63" s="191"/>
      <c r="J63" s="316"/>
      <c r="K63" s="316"/>
    </row>
    <row r="64" spans="1:11" s="143" customFormat="1" ht="12">
      <c r="A64" s="221" t="s">
        <v>61</v>
      </c>
      <c r="B64" s="243" t="s">
        <v>103</v>
      </c>
      <c r="C64" s="220" t="s">
        <v>102</v>
      </c>
      <c r="D64" s="222"/>
      <c r="E64" s="223"/>
      <c r="F64" s="223"/>
      <c r="G64" s="223"/>
      <c r="H64" s="140"/>
      <c r="I64" s="330"/>
      <c r="J64" s="142"/>
      <c r="K64" s="142"/>
    </row>
    <row r="65" spans="1:11" s="139" customFormat="1" ht="11.25" customHeight="1">
      <c r="A65" s="329" t="s">
        <v>735</v>
      </c>
      <c r="B65" s="245" t="s">
        <v>592</v>
      </c>
      <c r="C65" s="224" t="s">
        <v>593</v>
      </c>
      <c r="D65" s="227" t="s">
        <v>63</v>
      </c>
      <c r="E65" s="229">
        <f>SUM(E66)</f>
        <v>11.339999999999998</v>
      </c>
      <c r="F65" s="229"/>
      <c r="G65" s="229">
        <f>E65*F65</f>
        <v>0</v>
      </c>
      <c r="H65" s="136"/>
      <c r="I65" s="188"/>
      <c r="J65" s="138"/>
      <c r="K65" s="138"/>
    </row>
    <row r="66" spans="1:11" s="195" customFormat="1" ht="22.5" customHeight="1">
      <c r="A66" s="341"/>
      <c r="B66" s="246"/>
      <c r="C66" s="254" t="s">
        <v>594</v>
      </c>
      <c r="D66" s="240"/>
      <c r="E66" s="287">
        <f>(1.8*3+4.5*12+5.7*2+4.8)*0.15</f>
        <v>11.339999999999998</v>
      </c>
      <c r="F66" s="242"/>
      <c r="G66" s="242"/>
      <c r="H66" s="192"/>
      <c r="I66" s="216"/>
      <c r="J66" s="194"/>
      <c r="K66" s="194"/>
    </row>
    <row r="67" spans="1:11" s="139" customFormat="1" ht="11.25" customHeight="1">
      <c r="A67" s="329" t="s">
        <v>736</v>
      </c>
      <c r="B67" s="310" t="s">
        <v>437</v>
      </c>
      <c r="C67" s="296" t="s">
        <v>438</v>
      </c>
      <c r="D67" s="247" t="s">
        <v>63</v>
      </c>
      <c r="E67" s="313">
        <f>SUM(E68)</f>
        <v>25</v>
      </c>
      <c r="F67" s="313"/>
      <c r="G67" s="229">
        <f>E67*F67</f>
        <v>0</v>
      </c>
      <c r="H67" s="187"/>
      <c r="I67" s="188"/>
      <c r="J67" s="138"/>
      <c r="K67" s="138"/>
    </row>
    <row r="68" spans="1:11" s="195" customFormat="1" ht="11.25" customHeight="1">
      <c r="A68" s="341"/>
      <c r="B68" s="246"/>
      <c r="C68" s="238" t="s">
        <v>607</v>
      </c>
      <c r="D68" s="240"/>
      <c r="E68" s="287">
        <f>25</f>
        <v>25</v>
      </c>
      <c r="F68" s="242"/>
      <c r="G68" s="242"/>
      <c r="H68" s="192"/>
      <c r="I68" s="216"/>
      <c r="J68" s="194"/>
      <c r="K68" s="194"/>
    </row>
    <row r="69" spans="1:11" s="139" customFormat="1" ht="11.25" customHeight="1">
      <c r="A69" s="329" t="s">
        <v>737</v>
      </c>
      <c r="B69" s="245" t="s">
        <v>452</v>
      </c>
      <c r="C69" s="224" t="s">
        <v>453</v>
      </c>
      <c r="D69" s="227" t="s">
        <v>63</v>
      </c>
      <c r="E69" s="229">
        <f>SUM(E70:E71)</f>
        <v>168.9</v>
      </c>
      <c r="F69" s="229"/>
      <c r="G69" s="229">
        <f>E69*F69</f>
        <v>0</v>
      </c>
      <c r="H69" s="136"/>
      <c r="I69" s="188"/>
      <c r="J69" s="138"/>
      <c r="K69" s="138"/>
    </row>
    <row r="70" spans="1:11" s="195" customFormat="1" ht="11.25" customHeight="1">
      <c r="A70" s="341"/>
      <c r="B70" s="246"/>
      <c r="C70" s="191" t="s">
        <v>734</v>
      </c>
      <c r="D70" s="240"/>
      <c r="E70" s="359">
        <f>58.5*2</f>
        <v>117</v>
      </c>
      <c r="F70" s="242"/>
      <c r="G70" s="242"/>
      <c r="H70" s="192"/>
      <c r="I70" s="216"/>
      <c r="J70" s="194"/>
      <c r="K70" s="194"/>
    </row>
    <row r="71" spans="1:11" s="195" customFormat="1" ht="11.25" customHeight="1">
      <c r="A71" s="341"/>
      <c r="B71" s="246"/>
      <c r="C71" s="238" t="s">
        <v>566</v>
      </c>
      <c r="D71" s="240"/>
      <c r="E71" s="287">
        <f>(4.55+12.75)*2*1.5</f>
        <v>51.900000000000006</v>
      </c>
      <c r="F71" s="242"/>
      <c r="G71" s="242"/>
      <c r="H71" s="192"/>
      <c r="I71" s="216"/>
      <c r="J71" s="194"/>
      <c r="K71" s="194"/>
    </row>
    <row r="72" spans="1:11" s="147" customFormat="1" ht="12">
      <c r="A72" s="274"/>
      <c r="B72" s="275" t="s">
        <v>62</v>
      </c>
      <c r="C72" s="231" t="str">
        <f>CONCATENATE(B64," ",C64)</f>
        <v>0061 Úpravy povrchů - vnitřní</v>
      </c>
      <c r="D72" s="232"/>
      <c r="E72" s="276"/>
      <c r="F72" s="232"/>
      <c r="G72" s="234">
        <f>SUM(G64:G71)</f>
        <v>0</v>
      </c>
      <c r="H72" s="144"/>
      <c r="I72" s="145"/>
      <c r="J72" s="146"/>
      <c r="K72" s="146"/>
    </row>
    <row r="73" spans="1:11" s="143" customFormat="1" ht="12">
      <c r="A73" s="221" t="s">
        <v>61</v>
      </c>
      <c r="B73" s="261" t="s">
        <v>88</v>
      </c>
      <c r="C73" s="244" t="s">
        <v>89</v>
      </c>
      <c r="D73" s="222"/>
      <c r="E73" s="223"/>
      <c r="F73" s="262"/>
      <c r="G73" s="223"/>
      <c r="H73" s="140"/>
      <c r="I73" s="141"/>
      <c r="J73" s="142"/>
      <c r="K73" s="142"/>
    </row>
    <row r="74" spans="1:11" s="272" customFormat="1" ht="45" customHeight="1">
      <c r="A74" s="263"/>
      <c r="B74" s="264"/>
      <c r="C74" s="265" t="s">
        <v>627</v>
      </c>
      <c r="D74" s="266"/>
      <c r="E74" s="268"/>
      <c r="F74" s="267"/>
      <c r="G74" s="268"/>
      <c r="H74" s="269"/>
      <c r="I74" s="270"/>
      <c r="J74" s="271"/>
      <c r="K74" s="271"/>
    </row>
    <row r="75" spans="1:11" s="190" customFormat="1" ht="11.25" customHeight="1">
      <c r="A75" s="309" t="s">
        <v>738</v>
      </c>
      <c r="B75" s="310" t="s">
        <v>437</v>
      </c>
      <c r="C75" s="296" t="s">
        <v>438</v>
      </c>
      <c r="D75" s="247" t="s">
        <v>63</v>
      </c>
      <c r="E75" s="249">
        <f>SUM(E76)</f>
        <v>25</v>
      </c>
      <c r="F75" s="313"/>
      <c r="G75" s="249">
        <f>E75*F75</f>
        <v>0</v>
      </c>
      <c r="H75" s="187"/>
      <c r="I75" s="188"/>
      <c r="J75" s="189"/>
      <c r="K75" s="189"/>
    </row>
    <row r="76" spans="1:11" s="272" customFormat="1" ht="22.5" customHeight="1">
      <c r="A76" s="263"/>
      <c r="B76" s="264"/>
      <c r="C76" s="259" t="s">
        <v>569</v>
      </c>
      <c r="D76" s="266"/>
      <c r="E76" s="268">
        <f>25</f>
        <v>25</v>
      </c>
      <c r="F76" s="267"/>
      <c r="G76" s="268"/>
      <c r="H76" s="269"/>
      <c r="I76" s="270"/>
      <c r="J76" s="271"/>
      <c r="K76" s="271"/>
    </row>
    <row r="77" spans="1:11" s="272" customFormat="1" ht="101.25" customHeight="1">
      <c r="A77" s="311" t="s">
        <v>739</v>
      </c>
      <c r="B77" s="277" t="s">
        <v>236</v>
      </c>
      <c r="C77" s="255" t="s">
        <v>624</v>
      </c>
      <c r="D77" s="227" t="s">
        <v>63</v>
      </c>
      <c r="E77" s="229">
        <f>551.12</f>
        <v>551.12</v>
      </c>
      <c r="F77" s="278"/>
      <c r="G77" s="249">
        <f>E77*F77</f>
        <v>0</v>
      </c>
      <c r="H77" s="269"/>
      <c r="I77" s="270"/>
      <c r="J77" s="271"/>
      <c r="K77" s="271"/>
    </row>
    <row r="78" spans="1:11" s="272" customFormat="1" ht="11.25" customHeight="1">
      <c r="A78" s="309" t="s">
        <v>740</v>
      </c>
      <c r="B78" s="279" t="s">
        <v>237</v>
      </c>
      <c r="C78" s="226" t="s">
        <v>148</v>
      </c>
      <c r="D78" s="227" t="s">
        <v>63</v>
      </c>
      <c r="E78" s="229">
        <f>551.12</f>
        <v>551.12</v>
      </c>
      <c r="F78" s="278"/>
      <c r="G78" s="249">
        <f>E78*F78</f>
        <v>0</v>
      </c>
      <c r="H78" s="269"/>
      <c r="I78" s="270"/>
      <c r="J78" s="271"/>
      <c r="K78" s="271"/>
    </row>
    <row r="79" spans="1:11" s="272" customFormat="1" ht="67.5" customHeight="1">
      <c r="A79" s="311" t="s">
        <v>741</v>
      </c>
      <c r="B79" s="312" t="s">
        <v>403</v>
      </c>
      <c r="C79" s="260" t="s">
        <v>588</v>
      </c>
      <c r="D79" s="247" t="s">
        <v>63</v>
      </c>
      <c r="E79" s="249">
        <f>528.93</f>
        <v>528.93</v>
      </c>
      <c r="F79" s="313"/>
      <c r="G79" s="249">
        <f>E79*F79</f>
        <v>0</v>
      </c>
      <c r="H79" s="269"/>
      <c r="I79" s="270"/>
      <c r="J79" s="271"/>
      <c r="K79" s="271"/>
    </row>
    <row r="80" spans="1:11" s="190" customFormat="1" ht="33.75" customHeight="1">
      <c r="A80" s="311" t="s">
        <v>742</v>
      </c>
      <c r="B80" s="312" t="s">
        <v>426</v>
      </c>
      <c r="C80" s="257" t="s">
        <v>427</v>
      </c>
      <c r="D80" s="247" t="s">
        <v>63</v>
      </c>
      <c r="E80" s="249">
        <v>5</v>
      </c>
      <c r="F80" s="313"/>
      <c r="G80" s="249">
        <f>E80*F80</f>
        <v>0</v>
      </c>
      <c r="H80" s="187"/>
      <c r="I80" s="188"/>
      <c r="J80" s="189"/>
      <c r="K80" s="189"/>
    </row>
    <row r="81" spans="1:11" s="190" customFormat="1" ht="56.25" customHeight="1">
      <c r="A81" s="311" t="s">
        <v>743</v>
      </c>
      <c r="B81" s="312" t="s">
        <v>428</v>
      </c>
      <c r="C81" s="257" t="s">
        <v>433</v>
      </c>
      <c r="D81" s="247" t="s">
        <v>63</v>
      </c>
      <c r="E81" s="249">
        <f>SUM(E82:E84)</f>
        <v>62.5</v>
      </c>
      <c r="F81" s="313"/>
      <c r="G81" s="249">
        <f>E81*F81</f>
        <v>0</v>
      </c>
      <c r="H81" s="187"/>
      <c r="I81" s="188"/>
      <c r="J81" s="189"/>
      <c r="K81" s="189"/>
    </row>
    <row r="82" spans="1:11" s="272" customFormat="1" ht="11.25" customHeight="1">
      <c r="A82" s="263"/>
      <c r="B82" s="264"/>
      <c r="C82" s="216" t="s">
        <v>430</v>
      </c>
      <c r="D82" s="266"/>
      <c r="E82" s="287">
        <f>45*0.5</f>
        <v>22.5</v>
      </c>
      <c r="F82" s="267"/>
      <c r="G82" s="268"/>
      <c r="H82" s="269"/>
      <c r="I82" s="270"/>
      <c r="J82" s="271"/>
      <c r="K82" s="271"/>
    </row>
    <row r="83" spans="1:11" s="272" customFormat="1" ht="11.25" customHeight="1">
      <c r="A83" s="263"/>
      <c r="B83" s="264"/>
      <c r="C83" s="216" t="s">
        <v>431</v>
      </c>
      <c r="D83" s="266"/>
      <c r="E83" s="287">
        <f>45*0.5</f>
        <v>22.5</v>
      </c>
      <c r="F83" s="267"/>
      <c r="G83" s="268"/>
      <c r="H83" s="269"/>
      <c r="I83" s="270"/>
      <c r="J83" s="271"/>
      <c r="K83" s="271"/>
    </row>
    <row r="84" spans="1:11" s="272" customFormat="1" ht="11.25" customHeight="1">
      <c r="A84" s="263"/>
      <c r="B84" s="264"/>
      <c r="C84" s="216" t="s">
        <v>432</v>
      </c>
      <c r="D84" s="266"/>
      <c r="E84" s="287">
        <f>35*0.5</f>
        <v>17.5</v>
      </c>
      <c r="F84" s="267"/>
      <c r="G84" s="268"/>
      <c r="H84" s="269"/>
      <c r="I84" s="270"/>
      <c r="J84" s="271"/>
      <c r="K84" s="271"/>
    </row>
    <row r="85" spans="1:11" s="190" customFormat="1" ht="11.25" customHeight="1">
      <c r="A85" s="309" t="s">
        <v>744</v>
      </c>
      <c r="B85" s="310" t="s">
        <v>544</v>
      </c>
      <c r="C85" s="333" t="s">
        <v>545</v>
      </c>
      <c r="D85" s="247" t="s">
        <v>63</v>
      </c>
      <c r="E85" s="249">
        <f>SUM(E86)</f>
        <v>1341.52</v>
      </c>
      <c r="F85" s="313"/>
      <c r="G85" s="249">
        <f>E85*F85</f>
        <v>0</v>
      </c>
      <c r="H85" s="187"/>
      <c r="I85" s="188"/>
      <c r="J85" s="189"/>
      <c r="K85" s="189"/>
    </row>
    <row r="86" spans="1:11" s="195" customFormat="1" ht="11.25" customHeight="1">
      <c r="A86" s="341"/>
      <c r="B86" s="331"/>
      <c r="C86" s="216" t="s">
        <v>759</v>
      </c>
      <c r="D86" s="240"/>
      <c r="E86" s="242">
        <f>335.38*4</f>
        <v>1341.52</v>
      </c>
      <c r="F86" s="332"/>
      <c r="G86" s="242"/>
      <c r="H86" s="192"/>
      <c r="I86" s="193"/>
      <c r="J86" s="194"/>
      <c r="K86" s="194"/>
    </row>
    <row r="87" spans="1:11" s="190" customFormat="1" ht="22.5" customHeight="1">
      <c r="A87" s="311" t="s">
        <v>745</v>
      </c>
      <c r="B87" s="312" t="s">
        <v>812</v>
      </c>
      <c r="C87" s="340" t="s">
        <v>813</v>
      </c>
      <c r="D87" s="247" t="s">
        <v>63</v>
      </c>
      <c r="E87" s="249">
        <f>SUM(E88)</f>
        <v>33.538000000000004</v>
      </c>
      <c r="F87" s="313"/>
      <c r="G87" s="249">
        <f>E87*F87</f>
        <v>0</v>
      </c>
      <c r="H87" s="187"/>
      <c r="I87" s="188"/>
      <c r="J87" s="189"/>
      <c r="K87" s="189"/>
    </row>
    <row r="88" spans="1:11" s="195" customFormat="1" ht="11.25" customHeight="1">
      <c r="A88" s="341"/>
      <c r="B88" s="331"/>
      <c r="C88" s="216" t="s">
        <v>810</v>
      </c>
      <c r="D88" s="240"/>
      <c r="E88" s="242">
        <f>335.38*0.1</f>
        <v>33.538000000000004</v>
      </c>
      <c r="F88" s="332"/>
      <c r="G88" s="242"/>
      <c r="H88" s="192"/>
      <c r="I88" s="193"/>
      <c r="J88" s="194"/>
      <c r="K88" s="194"/>
    </row>
    <row r="89" spans="1:11" s="190" customFormat="1" ht="11.25" customHeight="1">
      <c r="A89" s="309" t="s">
        <v>746</v>
      </c>
      <c r="B89" s="310" t="s">
        <v>599</v>
      </c>
      <c r="C89" s="333" t="s">
        <v>600</v>
      </c>
      <c r="D89" s="247" t="s">
        <v>80</v>
      </c>
      <c r="E89" s="249">
        <f>SUM(E90:E92)</f>
        <v>75.8</v>
      </c>
      <c r="F89" s="313"/>
      <c r="G89" s="249">
        <f>E89*F89</f>
        <v>0</v>
      </c>
      <c r="H89" s="187"/>
      <c r="I89" s="188"/>
      <c r="J89" s="189"/>
      <c r="K89" s="189"/>
    </row>
    <row r="90" spans="1:11" s="190" customFormat="1" ht="11.25" customHeight="1">
      <c r="A90" s="309"/>
      <c r="B90" s="310"/>
      <c r="C90" s="216" t="s">
        <v>604</v>
      </c>
      <c r="D90" s="247"/>
      <c r="E90" s="287">
        <f>27.8</f>
        <v>27.8</v>
      </c>
      <c r="F90" s="313"/>
      <c r="G90" s="249"/>
      <c r="H90" s="187"/>
      <c r="I90" s="188"/>
      <c r="J90" s="189"/>
      <c r="K90" s="189"/>
    </row>
    <row r="91" spans="1:11" s="190" customFormat="1" ht="11.25" customHeight="1">
      <c r="A91" s="309"/>
      <c r="B91" s="310"/>
      <c r="C91" s="216" t="s">
        <v>605</v>
      </c>
      <c r="D91" s="247"/>
      <c r="E91" s="287">
        <f>25.2</f>
        <v>25.2</v>
      </c>
      <c r="F91" s="313"/>
      <c r="G91" s="249"/>
      <c r="H91" s="187"/>
      <c r="I91" s="188"/>
      <c r="J91" s="189"/>
      <c r="K91" s="189"/>
    </row>
    <row r="92" spans="1:11" s="190" customFormat="1" ht="11.25" customHeight="1">
      <c r="A92" s="309"/>
      <c r="B92" s="310"/>
      <c r="C92" s="216" t="s">
        <v>606</v>
      </c>
      <c r="D92" s="247"/>
      <c r="E92" s="287">
        <f>22.8</f>
        <v>22.8</v>
      </c>
      <c r="F92" s="313"/>
      <c r="G92" s="249"/>
      <c r="H92" s="187"/>
      <c r="I92" s="188"/>
      <c r="J92" s="189"/>
      <c r="K92" s="189"/>
    </row>
    <row r="93" spans="1:11" s="190" customFormat="1" ht="11.25" customHeight="1">
      <c r="A93" s="309" t="s">
        <v>747</v>
      </c>
      <c r="B93" s="310" t="s">
        <v>575</v>
      </c>
      <c r="C93" s="333" t="s">
        <v>576</v>
      </c>
      <c r="D93" s="247" t="s">
        <v>80</v>
      </c>
      <c r="E93" s="249">
        <f>SUM(E94:E97)</f>
        <v>100.84</v>
      </c>
      <c r="F93" s="313"/>
      <c r="G93" s="249">
        <f>E93*F93</f>
        <v>0</v>
      </c>
      <c r="H93" s="187"/>
      <c r="I93" s="188"/>
      <c r="J93" s="189"/>
      <c r="K93" s="189"/>
    </row>
    <row r="94" spans="1:11" s="195" customFormat="1" ht="11.25" customHeight="1">
      <c r="A94" s="341"/>
      <c r="B94" s="331"/>
      <c r="C94" s="216" t="s">
        <v>601</v>
      </c>
      <c r="D94" s="240"/>
      <c r="E94" s="287">
        <f>2.5+1.2</f>
        <v>3.7</v>
      </c>
      <c r="F94" s="332"/>
      <c r="G94" s="242"/>
      <c r="H94" s="192"/>
      <c r="I94" s="193"/>
      <c r="J94" s="194"/>
      <c r="K94" s="194"/>
    </row>
    <row r="95" spans="1:11" s="195" customFormat="1" ht="11.25" customHeight="1">
      <c r="A95" s="341"/>
      <c r="B95" s="331"/>
      <c r="C95" s="216" t="s">
        <v>602</v>
      </c>
      <c r="D95" s="240"/>
      <c r="E95" s="287">
        <f>3.5+2.4</f>
        <v>5.9</v>
      </c>
      <c r="F95" s="332"/>
      <c r="G95" s="242"/>
      <c r="H95" s="192"/>
      <c r="I95" s="193"/>
      <c r="J95" s="194"/>
      <c r="K95" s="194"/>
    </row>
    <row r="96" spans="1:11" s="195" customFormat="1" ht="11.25" customHeight="1">
      <c r="A96" s="341"/>
      <c r="B96" s="331"/>
      <c r="C96" s="216" t="s">
        <v>598</v>
      </c>
      <c r="D96" s="240"/>
      <c r="E96" s="287">
        <f>(14.405+24.15)*2</f>
        <v>77.11</v>
      </c>
      <c r="F96" s="332"/>
      <c r="G96" s="242"/>
      <c r="H96" s="192"/>
      <c r="I96" s="193"/>
      <c r="J96" s="194"/>
      <c r="K96" s="194"/>
    </row>
    <row r="97" spans="1:11" s="195" customFormat="1" ht="11.25" customHeight="1">
      <c r="A97" s="341"/>
      <c r="B97" s="331"/>
      <c r="C97" s="216" t="s">
        <v>603</v>
      </c>
      <c r="D97" s="240"/>
      <c r="E97" s="287">
        <f>2*3.14*2.25</f>
        <v>14.13</v>
      </c>
      <c r="F97" s="332"/>
      <c r="G97" s="242"/>
      <c r="H97" s="192"/>
      <c r="I97" s="193"/>
      <c r="J97" s="194"/>
      <c r="K97" s="194"/>
    </row>
    <row r="98" spans="1:11" s="190" customFormat="1" ht="33.75" customHeight="1">
      <c r="A98" s="311" t="s">
        <v>748</v>
      </c>
      <c r="B98" s="312" t="s">
        <v>546</v>
      </c>
      <c r="C98" s="340" t="s">
        <v>584</v>
      </c>
      <c r="D98" s="247" t="s">
        <v>63</v>
      </c>
      <c r="E98" s="249">
        <f>SUM(E99:E101)</f>
        <v>34.11</v>
      </c>
      <c r="F98" s="313"/>
      <c r="G98" s="249">
        <f>E98*F98</f>
        <v>0</v>
      </c>
      <c r="H98" s="187"/>
      <c r="I98" s="188"/>
      <c r="J98" s="189"/>
      <c r="K98" s="189"/>
    </row>
    <row r="99" spans="1:11" s="195" customFormat="1" ht="11.25" customHeight="1">
      <c r="A99" s="341"/>
      <c r="B99" s="331"/>
      <c r="C99" s="216" t="s">
        <v>547</v>
      </c>
      <c r="D99" s="240"/>
      <c r="E99" s="287">
        <f>27.8*0.45</f>
        <v>12.51</v>
      </c>
      <c r="F99" s="332"/>
      <c r="G99" s="242"/>
      <c r="H99" s="192"/>
      <c r="I99" s="193"/>
      <c r="J99" s="194"/>
      <c r="K99" s="194"/>
    </row>
    <row r="100" spans="1:11" s="195" customFormat="1" ht="11.25" customHeight="1">
      <c r="A100" s="341"/>
      <c r="B100" s="331"/>
      <c r="C100" s="216" t="s">
        <v>548</v>
      </c>
      <c r="D100" s="240"/>
      <c r="E100" s="287">
        <f>25.2*0.45</f>
        <v>11.34</v>
      </c>
      <c r="F100" s="332"/>
      <c r="G100" s="242"/>
      <c r="H100" s="192"/>
      <c r="I100" s="193"/>
      <c r="J100" s="194"/>
      <c r="K100" s="194"/>
    </row>
    <row r="101" spans="1:11" s="195" customFormat="1" ht="11.25" customHeight="1">
      <c r="A101" s="341"/>
      <c r="B101" s="331"/>
      <c r="C101" s="216" t="s">
        <v>549</v>
      </c>
      <c r="D101" s="240"/>
      <c r="E101" s="287">
        <f>22.8*0.45</f>
        <v>10.26</v>
      </c>
      <c r="F101" s="332"/>
      <c r="G101" s="242"/>
      <c r="H101" s="192"/>
      <c r="I101" s="193"/>
      <c r="J101" s="194"/>
      <c r="K101" s="194"/>
    </row>
    <row r="102" spans="1:11" s="190" customFormat="1" ht="33.75" customHeight="1">
      <c r="A102" s="311" t="s">
        <v>749</v>
      </c>
      <c r="B102" s="312" t="s">
        <v>573</v>
      </c>
      <c r="C102" s="340" t="s">
        <v>574</v>
      </c>
      <c r="D102" s="247" t="s">
        <v>63</v>
      </c>
      <c r="E102" s="249">
        <f>SUM(E103:E109)</f>
        <v>286.15299999999996</v>
      </c>
      <c r="F102" s="313"/>
      <c r="G102" s="249">
        <f>E102*F102</f>
        <v>0</v>
      </c>
      <c r="H102" s="187"/>
      <c r="I102" s="188"/>
      <c r="J102" s="189"/>
      <c r="K102" s="189"/>
    </row>
    <row r="103" spans="1:11" s="195" customFormat="1" ht="11.25" customHeight="1">
      <c r="A103" s="341"/>
      <c r="B103" s="331"/>
      <c r="C103" s="216" t="s">
        <v>583</v>
      </c>
      <c r="D103" s="240"/>
      <c r="E103" s="287">
        <f>2.5*2.3+1.2*2.4</f>
        <v>8.629999999999999</v>
      </c>
      <c r="F103" s="332"/>
      <c r="G103" s="242"/>
      <c r="H103" s="192"/>
      <c r="I103" s="193"/>
      <c r="J103" s="194"/>
      <c r="K103" s="194"/>
    </row>
    <row r="104" spans="1:11" s="195" customFormat="1" ht="11.25" customHeight="1">
      <c r="A104" s="341"/>
      <c r="B104" s="331"/>
      <c r="C104" s="216" t="s">
        <v>758</v>
      </c>
      <c r="D104" s="240"/>
      <c r="E104" s="287">
        <f>-((1.5*1.5)+(0.7*0.6))</f>
        <v>-2.67</v>
      </c>
      <c r="F104" s="332"/>
      <c r="G104" s="242"/>
      <c r="H104" s="192"/>
      <c r="I104" s="193"/>
      <c r="J104" s="194"/>
      <c r="K104" s="194"/>
    </row>
    <row r="105" spans="1:11" s="195" customFormat="1" ht="11.25" customHeight="1">
      <c r="A105" s="341"/>
      <c r="B105" s="331"/>
      <c r="C105" s="216" t="s">
        <v>585</v>
      </c>
      <c r="D105" s="240"/>
      <c r="E105" s="287">
        <f>3.5*2.3+2.4*2.8</f>
        <v>14.77</v>
      </c>
      <c r="F105" s="332"/>
      <c r="G105" s="242"/>
      <c r="H105" s="192"/>
      <c r="I105" s="193"/>
      <c r="J105" s="194"/>
      <c r="K105" s="194"/>
    </row>
    <row r="106" spans="1:11" s="195" customFormat="1" ht="11.25" customHeight="1">
      <c r="A106" s="341"/>
      <c r="B106" s="331"/>
      <c r="C106" s="216" t="s">
        <v>586</v>
      </c>
      <c r="D106" s="240"/>
      <c r="E106" s="287">
        <f>-((1*1.2*2)+(1.6*2))</f>
        <v>-5.6</v>
      </c>
      <c r="F106" s="332"/>
      <c r="G106" s="242"/>
      <c r="H106" s="192"/>
      <c r="I106" s="193"/>
      <c r="J106" s="194"/>
      <c r="K106" s="194"/>
    </row>
    <row r="107" spans="1:11" s="195" customFormat="1" ht="11.25" customHeight="1">
      <c r="A107" s="341"/>
      <c r="B107" s="331"/>
      <c r="C107" s="216" t="s">
        <v>595</v>
      </c>
      <c r="D107" s="240"/>
      <c r="E107" s="287">
        <f>(14.405+24.15)*2*3.4</f>
        <v>262.174</v>
      </c>
      <c r="F107" s="332"/>
      <c r="G107" s="242"/>
      <c r="H107" s="192"/>
      <c r="I107" s="193"/>
      <c r="J107" s="194"/>
      <c r="K107" s="194"/>
    </row>
    <row r="108" spans="1:11" s="195" customFormat="1" ht="11.25" customHeight="1">
      <c r="A108" s="341"/>
      <c r="B108" s="331"/>
      <c r="C108" s="216" t="s">
        <v>596</v>
      </c>
      <c r="D108" s="240"/>
      <c r="E108" s="287">
        <f>-((0.6*0.6*3)+(1.5*1.5*12)+(2.7*1.5*2)+(0.8*2))</f>
        <v>-37.78</v>
      </c>
      <c r="F108" s="332"/>
      <c r="G108" s="242"/>
      <c r="H108" s="192"/>
      <c r="I108" s="193"/>
      <c r="J108" s="194"/>
      <c r="K108" s="194"/>
    </row>
    <row r="109" spans="1:11" s="195" customFormat="1" ht="11.25" customHeight="1">
      <c r="A109" s="341"/>
      <c r="B109" s="331"/>
      <c r="C109" s="216" t="s">
        <v>597</v>
      </c>
      <c r="D109" s="240"/>
      <c r="E109" s="287">
        <f>2*3.14*2.25*3.3</f>
        <v>46.629</v>
      </c>
      <c r="F109" s="332"/>
      <c r="G109" s="242"/>
      <c r="H109" s="192"/>
      <c r="I109" s="193"/>
      <c r="J109" s="194"/>
      <c r="K109" s="194"/>
    </row>
    <row r="110" spans="1:11" s="190" customFormat="1" ht="11.25" customHeight="1">
      <c r="A110" s="309" t="s">
        <v>750</v>
      </c>
      <c r="B110" s="310" t="s">
        <v>579</v>
      </c>
      <c r="C110" s="333" t="s">
        <v>580</v>
      </c>
      <c r="D110" s="247" t="s">
        <v>63</v>
      </c>
      <c r="E110" s="249">
        <f>SUM(E111)</f>
        <v>5.040000000000001</v>
      </c>
      <c r="F110" s="313"/>
      <c r="G110" s="249">
        <f>E110*F110</f>
        <v>0</v>
      </c>
      <c r="H110" s="187"/>
      <c r="I110" s="188"/>
      <c r="J110" s="189"/>
      <c r="K110" s="189"/>
    </row>
    <row r="111" spans="1:11" s="195" customFormat="1" ht="11.25" customHeight="1">
      <c r="A111" s="341"/>
      <c r="B111" s="331"/>
      <c r="C111" s="216" t="s">
        <v>581</v>
      </c>
      <c r="D111" s="240"/>
      <c r="E111" s="287">
        <f>(0.6*3+1.5*12+2.7*2)*0.2</f>
        <v>5.040000000000001</v>
      </c>
      <c r="F111" s="332"/>
      <c r="G111" s="242"/>
      <c r="H111" s="192"/>
      <c r="I111" s="193"/>
      <c r="J111" s="194"/>
      <c r="K111" s="194"/>
    </row>
    <row r="112" spans="1:11" s="190" customFormat="1" ht="33.75" customHeight="1">
      <c r="A112" s="311" t="s">
        <v>751</v>
      </c>
      <c r="B112" s="312" t="s">
        <v>577</v>
      </c>
      <c r="C112" s="340" t="s">
        <v>578</v>
      </c>
      <c r="D112" s="247" t="s">
        <v>63</v>
      </c>
      <c r="E112" s="249">
        <f>SUM(E113)</f>
        <v>15.120000000000001</v>
      </c>
      <c r="F112" s="313"/>
      <c r="G112" s="249">
        <f>E112*F112</f>
        <v>0</v>
      </c>
      <c r="H112" s="187"/>
      <c r="I112" s="188"/>
      <c r="J112" s="189"/>
      <c r="K112" s="189"/>
    </row>
    <row r="113" spans="1:11" s="195" customFormat="1" ht="11.25" customHeight="1">
      <c r="A113" s="341"/>
      <c r="B113" s="331"/>
      <c r="C113" s="216" t="s">
        <v>582</v>
      </c>
      <c r="D113" s="240"/>
      <c r="E113" s="287">
        <f>1.8*0.2*3+4.5*0.2*12+5.7*0.2*2+4.8*0.2</f>
        <v>15.120000000000001</v>
      </c>
      <c r="F113" s="332"/>
      <c r="G113" s="242"/>
      <c r="H113" s="192"/>
      <c r="I113" s="193"/>
      <c r="J113" s="194"/>
      <c r="K113" s="194"/>
    </row>
    <row r="114" spans="1:11" s="190" customFormat="1" ht="11.25" customHeight="1">
      <c r="A114" s="309" t="s">
        <v>752</v>
      </c>
      <c r="B114" s="310" t="s">
        <v>494</v>
      </c>
      <c r="C114" s="333" t="s">
        <v>495</v>
      </c>
      <c r="D114" s="247" t="s">
        <v>63</v>
      </c>
      <c r="E114" s="249">
        <f>SUM(E115:E116)</f>
        <v>91</v>
      </c>
      <c r="F114" s="313"/>
      <c r="G114" s="249">
        <f>E114*F114</f>
        <v>0</v>
      </c>
      <c r="H114" s="187"/>
      <c r="I114" s="188"/>
      <c r="J114" s="189"/>
      <c r="K114" s="189"/>
    </row>
    <row r="115" spans="1:11" s="195" customFormat="1" ht="11.25" customHeight="1">
      <c r="A115" s="341"/>
      <c r="B115" s="331"/>
      <c r="C115" s="216" t="s">
        <v>512</v>
      </c>
      <c r="D115" s="240"/>
      <c r="E115" s="287">
        <f>40*1.3</f>
        <v>52</v>
      </c>
      <c r="F115" s="332"/>
      <c r="G115" s="242"/>
      <c r="H115" s="192"/>
      <c r="I115" s="193"/>
      <c r="J115" s="194"/>
      <c r="K115" s="194"/>
    </row>
    <row r="116" spans="1:11" s="195" customFormat="1" ht="11.25" customHeight="1">
      <c r="A116" s="341"/>
      <c r="B116" s="331"/>
      <c r="C116" s="216" t="s">
        <v>513</v>
      </c>
      <c r="D116" s="240"/>
      <c r="E116" s="287">
        <f>30*1.3</f>
        <v>39</v>
      </c>
      <c r="F116" s="332"/>
      <c r="G116" s="242"/>
      <c r="H116" s="192"/>
      <c r="I116" s="193"/>
      <c r="J116" s="194"/>
      <c r="K116" s="194"/>
    </row>
    <row r="117" spans="1:11" s="190" customFormat="1" ht="11.25" customHeight="1">
      <c r="A117" s="309" t="s">
        <v>753</v>
      </c>
      <c r="B117" s="310" t="s">
        <v>639</v>
      </c>
      <c r="C117" s="333" t="s">
        <v>640</v>
      </c>
      <c r="D117" s="247" t="s">
        <v>63</v>
      </c>
      <c r="E117" s="249">
        <f>SUM(E118:E119)</f>
        <v>77.6652</v>
      </c>
      <c r="F117" s="313"/>
      <c r="G117" s="249">
        <f>E117*F117</f>
        <v>0</v>
      </c>
      <c r="H117" s="187"/>
      <c r="I117" s="188"/>
      <c r="J117" s="189"/>
      <c r="K117" s="189"/>
    </row>
    <row r="118" spans="1:11" s="190" customFormat="1" ht="11.25" customHeight="1">
      <c r="A118" s="309"/>
      <c r="B118" s="310"/>
      <c r="C118" s="216" t="s">
        <v>636</v>
      </c>
      <c r="D118" s="247"/>
      <c r="E118" s="287">
        <f>(2+1.8+4.7+1.4+1.6+1)*2*1.2</f>
        <v>30</v>
      </c>
      <c r="F118" s="313"/>
      <c r="G118" s="249"/>
      <c r="H118" s="187"/>
      <c r="I118" s="188"/>
      <c r="J118" s="189"/>
      <c r="K118" s="189"/>
    </row>
    <row r="119" spans="1:11" s="190" customFormat="1" ht="11.25" customHeight="1">
      <c r="A119" s="309"/>
      <c r="B119" s="310"/>
      <c r="C119" s="216" t="s">
        <v>672</v>
      </c>
      <c r="D119" s="247"/>
      <c r="E119" s="287">
        <f>2*3.14*2.3*3.3</f>
        <v>47.66519999999999</v>
      </c>
      <c r="F119" s="313"/>
      <c r="G119" s="249"/>
      <c r="H119" s="187"/>
      <c r="I119" s="188"/>
      <c r="J119" s="189"/>
      <c r="K119" s="189"/>
    </row>
    <row r="120" spans="1:11" s="190" customFormat="1" ht="11.25" customHeight="1">
      <c r="A120" s="309" t="s">
        <v>754</v>
      </c>
      <c r="B120" s="310" t="s">
        <v>567</v>
      </c>
      <c r="C120" s="333" t="s">
        <v>568</v>
      </c>
      <c r="D120" s="247" t="s">
        <v>63</v>
      </c>
      <c r="E120" s="249">
        <f>SUM(E121)</f>
        <v>250</v>
      </c>
      <c r="F120" s="313"/>
      <c r="G120" s="249">
        <f>E120*F120</f>
        <v>0</v>
      </c>
      <c r="H120" s="187"/>
      <c r="I120" s="188"/>
      <c r="J120" s="189"/>
      <c r="K120" s="189"/>
    </row>
    <row r="121" spans="1:11" s="195" customFormat="1" ht="11.25" customHeight="1">
      <c r="A121" s="341"/>
      <c r="B121" s="331"/>
      <c r="C121" s="216" t="s">
        <v>570</v>
      </c>
      <c r="D121" s="240"/>
      <c r="E121" s="287">
        <f>250</f>
        <v>250</v>
      </c>
      <c r="F121" s="332"/>
      <c r="G121" s="242"/>
      <c r="H121" s="192"/>
      <c r="I121" s="193"/>
      <c r="J121" s="194"/>
      <c r="K121" s="194"/>
    </row>
    <row r="122" spans="1:11" s="190" customFormat="1" ht="11.25" customHeight="1">
      <c r="A122" s="309" t="s">
        <v>755</v>
      </c>
      <c r="B122" s="310" t="s">
        <v>641</v>
      </c>
      <c r="C122" s="333" t="s">
        <v>676</v>
      </c>
      <c r="D122" s="247" t="s">
        <v>63</v>
      </c>
      <c r="E122" s="249">
        <f>SUM(E123:E124)</f>
        <v>77.6652</v>
      </c>
      <c r="F122" s="313"/>
      <c r="G122" s="249">
        <f>E122*F122</f>
        <v>0</v>
      </c>
      <c r="H122" s="187"/>
      <c r="I122" s="188"/>
      <c r="J122" s="189"/>
      <c r="K122" s="189"/>
    </row>
    <row r="123" spans="1:11" s="190" customFormat="1" ht="11.25" customHeight="1">
      <c r="A123" s="309"/>
      <c r="B123" s="310"/>
      <c r="C123" s="216" t="s">
        <v>636</v>
      </c>
      <c r="D123" s="247"/>
      <c r="E123" s="287">
        <f>(2+1.8+4.7+1.4+1.6+1)*2*1.2</f>
        <v>30</v>
      </c>
      <c r="F123" s="313"/>
      <c r="G123" s="249"/>
      <c r="H123" s="187"/>
      <c r="I123" s="188"/>
      <c r="J123" s="189"/>
      <c r="K123" s="189"/>
    </row>
    <row r="124" spans="1:11" s="190" customFormat="1" ht="11.25" customHeight="1">
      <c r="A124" s="309"/>
      <c r="B124" s="310"/>
      <c r="C124" s="216" t="s">
        <v>675</v>
      </c>
      <c r="D124" s="247"/>
      <c r="E124" s="287">
        <f>2*3.14*2.3*3.3</f>
        <v>47.66519999999999</v>
      </c>
      <c r="F124" s="313"/>
      <c r="G124" s="249"/>
      <c r="H124" s="187"/>
      <c r="I124" s="188"/>
      <c r="J124" s="189"/>
      <c r="K124" s="189"/>
    </row>
    <row r="125" spans="1:11" s="190" customFormat="1" ht="22.5" customHeight="1">
      <c r="A125" s="311" t="s">
        <v>756</v>
      </c>
      <c r="B125" s="312" t="s">
        <v>673</v>
      </c>
      <c r="C125" s="340" t="s">
        <v>674</v>
      </c>
      <c r="D125" s="247" t="s">
        <v>63</v>
      </c>
      <c r="E125" s="249">
        <f>SUM(E126)</f>
        <v>47.66519999999999</v>
      </c>
      <c r="F125" s="313"/>
      <c r="G125" s="249">
        <f>E125*F125</f>
        <v>0</v>
      </c>
      <c r="H125" s="187"/>
      <c r="I125" s="188"/>
      <c r="J125" s="189"/>
      <c r="K125" s="189"/>
    </row>
    <row r="126" spans="1:11" s="190" customFormat="1" ht="11.25" customHeight="1">
      <c r="A126" s="309"/>
      <c r="B126" s="310"/>
      <c r="C126" s="216" t="s">
        <v>675</v>
      </c>
      <c r="D126" s="247"/>
      <c r="E126" s="287">
        <f>2*3.14*2.3*3.3</f>
        <v>47.66519999999999</v>
      </c>
      <c r="F126" s="313"/>
      <c r="G126" s="249"/>
      <c r="H126" s="187"/>
      <c r="I126" s="188"/>
      <c r="J126" s="189"/>
      <c r="K126" s="189"/>
    </row>
    <row r="127" spans="1:11" s="190" customFormat="1" ht="11.25" customHeight="1">
      <c r="A127" s="309" t="s">
        <v>757</v>
      </c>
      <c r="B127" s="310" t="s">
        <v>571</v>
      </c>
      <c r="C127" s="333" t="s">
        <v>572</v>
      </c>
      <c r="D127" s="247" t="s">
        <v>63</v>
      </c>
      <c r="E127" s="249">
        <v>335.38</v>
      </c>
      <c r="F127" s="313"/>
      <c r="G127" s="249">
        <f>E127*F127</f>
        <v>0</v>
      </c>
      <c r="H127" s="187"/>
      <c r="I127" s="188"/>
      <c r="J127" s="189"/>
      <c r="K127" s="189"/>
    </row>
    <row r="128" spans="1:11" s="147" customFormat="1" ht="12">
      <c r="A128" s="274"/>
      <c r="B128" s="275" t="s">
        <v>62</v>
      </c>
      <c r="C128" s="231" t="str">
        <f>CONCATENATE(B73," ",C73)</f>
        <v>0062 Úpravy povrchů - vnější</v>
      </c>
      <c r="D128" s="232"/>
      <c r="E128" s="276"/>
      <c r="F128" s="232"/>
      <c r="G128" s="234">
        <f>SUM(G73:G127)</f>
        <v>0</v>
      </c>
      <c r="H128" s="144"/>
      <c r="I128" s="145"/>
      <c r="J128" s="146"/>
      <c r="K128" s="146"/>
    </row>
    <row r="129" spans="1:11" s="143" customFormat="1" ht="12">
      <c r="A129" s="221" t="s">
        <v>61</v>
      </c>
      <c r="B129" s="243" t="s">
        <v>123</v>
      </c>
      <c r="C129" s="220" t="s">
        <v>124</v>
      </c>
      <c r="D129" s="222"/>
      <c r="E129" s="223"/>
      <c r="F129" s="223"/>
      <c r="G129" s="223"/>
      <c r="H129" s="140"/>
      <c r="I129" s="141"/>
      <c r="J129" s="142"/>
      <c r="K129" s="142"/>
    </row>
    <row r="130" spans="1:11" s="139" customFormat="1" ht="11.25" customHeight="1">
      <c r="A130" s="329" t="s">
        <v>760</v>
      </c>
      <c r="B130" s="245" t="s">
        <v>589</v>
      </c>
      <c r="C130" s="224" t="s">
        <v>590</v>
      </c>
      <c r="D130" s="227" t="s">
        <v>63</v>
      </c>
      <c r="E130" s="229">
        <f>SUM(E131)</f>
        <v>8.316</v>
      </c>
      <c r="F130" s="229"/>
      <c r="G130" s="229">
        <f>E130*F130</f>
        <v>0</v>
      </c>
      <c r="H130" s="136"/>
      <c r="I130" s="188"/>
      <c r="J130" s="138"/>
      <c r="K130" s="138"/>
    </row>
    <row r="131" spans="1:11" s="195" customFormat="1" ht="11.25" customHeight="1">
      <c r="A131" s="239"/>
      <c r="B131" s="246"/>
      <c r="C131" s="238" t="s">
        <v>591</v>
      </c>
      <c r="D131" s="240"/>
      <c r="E131" s="287">
        <f>(0.6*3+1.5*12+2.7*2)*0.33</f>
        <v>8.316</v>
      </c>
      <c r="F131" s="242"/>
      <c r="G131" s="242"/>
      <c r="H131" s="192"/>
      <c r="I131" s="193"/>
      <c r="J131" s="194"/>
      <c r="K131" s="194"/>
    </row>
    <row r="132" spans="1:11" s="147" customFormat="1" ht="12">
      <c r="A132" s="274"/>
      <c r="B132" s="275" t="s">
        <v>62</v>
      </c>
      <c r="C132" s="231" t="str">
        <f>CONCATENATE(B129," ",C129)</f>
        <v>0063 Podlahy a podlahové konstrukce</v>
      </c>
      <c r="D132" s="232"/>
      <c r="E132" s="276"/>
      <c r="F132" s="232"/>
      <c r="G132" s="234">
        <f>SUM(G129:G131)</f>
        <v>0</v>
      </c>
      <c r="H132" s="144"/>
      <c r="I132" s="145"/>
      <c r="J132" s="146"/>
      <c r="K132" s="146"/>
    </row>
    <row r="133" spans="1:11" s="143" customFormat="1" ht="12">
      <c r="A133" s="221" t="s">
        <v>61</v>
      </c>
      <c r="B133" s="243" t="s">
        <v>112</v>
      </c>
      <c r="C133" s="220" t="s">
        <v>113</v>
      </c>
      <c r="D133" s="222"/>
      <c r="E133" s="223"/>
      <c r="F133" s="223"/>
      <c r="G133" s="223"/>
      <c r="H133" s="140"/>
      <c r="I133" s="141"/>
      <c r="J133" s="142"/>
      <c r="K133" s="142"/>
    </row>
    <row r="134" spans="1:11" s="139" customFormat="1" ht="11.25" customHeight="1">
      <c r="A134" s="329" t="s">
        <v>761</v>
      </c>
      <c r="B134" s="245" t="s">
        <v>114</v>
      </c>
      <c r="C134" s="224" t="s">
        <v>323</v>
      </c>
      <c r="D134" s="227" t="s">
        <v>80</v>
      </c>
      <c r="E134" s="229">
        <f>SUM(E135:E140)</f>
        <v>34.989999999999995</v>
      </c>
      <c r="F134" s="229"/>
      <c r="G134" s="229">
        <f>E134*F134</f>
        <v>0</v>
      </c>
      <c r="H134" s="136"/>
      <c r="I134" s="188"/>
      <c r="J134" s="138"/>
      <c r="K134" s="138"/>
    </row>
    <row r="135" spans="1:11" s="195" customFormat="1" ht="11.25" customHeight="1">
      <c r="A135" s="341"/>
      <c r="B135" s="246"/>
      <c r="C135" s="238" t="s">
        <v>325</v>
      </c>
      <c r="D135" s="240"/>
      <c r="E135" s="287">
        <f>3.3*3</f>
        <v>9.899999999999999</v>
      </c>
      <c r="F135" s="242"/>
      <c r="G135" s="242"/>
      <c r="H135" s="192"/>
      <c r="I135" s="193"/>
      <c r="J135" s="194"/>
      <c r="K135" s="194"/>
    </row>
    <row r="136" spans="1:11" s="195" customFormat="1" ht="11.25" customHeight="1">
      <c r="A136" s="341"/>
      <c r="B136" s="246"/>
      <c r="C136" s="238" t="s">
        <v>328</v>
      </c>
      <c r="D136" s="240"/>
      <c r="E136" s="287">
        <f>2.15*3</f>
        <v>6.449999999999999</v>
      </c>
      <c r="F136" s="242"/>
      <c r="G136" s="242"/>
      <c r="H136" s="192"/>
      <c r="I136" s="193"/>
      <c r="J136" s="194"/>
      <c r="K136" s="194"/>
    </row>
    <row r="137" spans="1:11" s="195" customFormat="1" ht="11.25" customHeight="1">
      <c r="A137" s="341"/>
      <c r="B137" s="246"/>
      <c r="C137" s="238" t="s">
        <v>331</v>
      </c>
      <c r="D137" s="240"/>
      <c r="E137" s="287">
        <f>2.27*2</f>
        <v>4.54</v>
      </c>
      <c r="F137" s="242"/>
      <c r="G137" s="242"/>
      <c r="H137" s="192"/>
      <c r="I137" s="193"/>
      <c r="J137" s="194"/>
      <c r="K137" s="194"/>
    </row>
    <row r="138" spans="1:11" s="195" customFormat="1" ht="11.25" customHeight="1">
      <c r="A138" s="341"/>
      <c r="B138" s="246"/>
      <c r="C138" s="238" t="s">
        <v>334</v>
      </c>
      <c r="D138" s="240"/>
      <c r="E138" s="287">
        <f>0.9*1</f>
        <v>0.9</v>
      </c>
      <c r="F138" s="242"/>
      <c r="G138" s="242"/>
      <c r="H138" s="192"/>
      <c r="I138" s="193"/>
      <c r="J138" s="194"/>
      <c r="K138" s="194"/>
    </row>
    <row r="139" spans="1:11" s="195" customFormat="1" ht="11.25" customHeight="1">
      <c r="A139" s="341"/>
      <c r="B139" s="246"/>
      <c r="C139" s="238" t="s">
        <v>337</v>
      </c>
      <c r="D139" s="240"/>
      <c r="E139" s="287">
        <f>2.4*5</f>
        <v>12</v>
      </c>
      <c r="F139" s="242"/>
      <c r="G139" s="242"/>
      <c r="H139" s="192"/>
      <c r="I139" s="193"/>
      <c r="J139" s="194"/>
      <c r="K139" s="194"/>
    </row>
    <row r="140" spans="1:11" s="195" customFormat="1" ht="11.25" customHeight="1">
      <c r="A140" s="341"/>
      <c r="B140" s="246"/>
      <c r="C140" s="238" t="s">
        <v>363</v>
      </c>
      <c r="D140" s="240"/>
      <c r="E140" s="287">
        <f>1.2*1</f>
        <v>1.2</v>
      </c>
      <c r="F140" s="242"/>
      <c r="G140" s="242"/>
      <c r="H140" s="192"/>
      <c r="I140" s="193"/>
      <c r="J140" s="194"/>
      <c r="K140" s="194"/>
    </row>
    <row r="141" spans="1:11" s="139" customFormat="1" ht="11.25" customHeight="1">
      <c r="A141" s="329" t="s">
        <v>762</v>
      </c>
      <c r="B141" s="245" t="s">
        <v>115</v>
      </c>
      <c r="C141" s="224" t="s">
        <v>317</v>
      </c>
      <c r="D141" s="227" t="s">
        <v>80</v>
      </c>
      <c r="E141" s="229">
        <f>SUM(E142:E157)</f>
        <v>276.41</v>
      </c>
      <c r="F141" s="229"/>
      <c r="G141" s="229">
        <f>E141*F141</f>
        <v>0</v>
      </c>
      <c r="H141" s="136"/>
      <c r="I141" s="188"/>
      <c r="J141" s="138"/>
      <c r="K141" s="138"/>
    </row>
    <row r="142" spans="1:11" s="195" customFormat="1" ht="11.25" customHeight="1">
      <c r="A142" s="341"/>
      <c r="B142" s="246"/>
      <c r="C142" s="238" t="s">
        <v>324</v>
      </c>
      <c r="D142" s="240"/>
      <c r="E142" s="287">
        <f>3.425*22</f>
        <v>75.35</v>
      </c>
      <c r="F142" s="242"/>
      <c r="G142" s="242"/>
      <c r="H142" s="192"/>
      <c r="I142" s="193"/>
      <c r="J142" s="194"/>
      <c r="K142" s="194"/>
    </row>
    <row r="143" spans="1:11" s="195" customFormat="1" ht="11.25" customHeight="1">
      <c r="A143" s="341"/>
      <c r="B143" s="246"/>
      <c r="C143" s="238" t="s">
        <v>320</v>
      </c>
      <c r="D143" s="240"/>
      <c r="E143" s="287">
        <f>2.375*24</f>
        <v>57</v>
      </c>
      <c r="F143" s="242"/>
      <c r="G143" s="242"/>
      <c r="H143" s="192"/>
      <c r="I143" s="193"/>
      <c r="J143" s="194"/>
      <c r="K143" s="194"/>
    </row>
    <row r="144" spans="1:11" s="195" customFormat="1" ht="11.25" customHeight="1">
      <c r="A144" s="341"/>
      <c r="B144" s="246"/>
      <c r="C144" s="238" t="s">
        <v>340</v>
      </c>
      <c r="D144" s="240"/>
      <c r="E144" s="287">
        <f>5.7*4</f>
        <v>22.8</v>
      </c>
      <c r="F144" s="242"/>
      <c r="G144" s="242"/>
      <c r="H144" s="192"/>
      <c r="I144" s="193"/>
      <c r="J144" s="194"/>
      <c r="K144" s="194"/>
    </row>
    <row r="145" spans="1:11" s="195" customFormat="1" ht="11.25" customHeight="1">
      <c r="A145" s="341"/>
      <c r="B145" s="246"/>
      <c r="C145" s="238" t="s">
        <v>343</v>
      </c>
      <c r="D145" s="240"/>
      <c r="E145" s="287">
        <f>3.35*7</f>
        <v>23.45</v>
      </c>
      <c r="F145" s="242"/>
      <c r="G145" s="242"/>
      <c r="H145" s="192"/>
      <c r="I145" s="193"/>
      <c r="J145" s="194"/>
      <c r="K145" s="194"/>
    </row>
    <row r="146" spans="1:11" s="195" customFormat="1" ht="11.25" customHeight="1">
      <c r="A146" s="341"/>
      <c r="B146" s="246"/>
      <c r="C146" s="238" t="s">
        <v>345</v>
      </c>
      <c r="D146" s="240"/>
      <c r="E146" s="287">
        <f>1.2*2</f>
        <v>2.4</v>
      </c>
      <c r="F146" s="242"/>
      <c r="G146" s="242"/>
      <c r="H146" s="192"/>
      <c r="I146" s="193"/>
      <c r="J146" s="194"/>
      <c r="K146" s="194"/>
    </row>
    <row r="147" spans="1:11" s="195" customFormat="1" ht="11.25" customHeight="1">
      <c r="A147" s="341"/>
      <c r="B147" s="246"/>
      <c r="C147" s="238" t="s">
        <v>347</v>
      </c>
      <c r="D147" s="240"/>
      <c r="E147" s="287">
        <f>4.525*2</f>
        <v>9.05</v>
      </c>
      <c r="F147" s="242"/>
      <c r="G147" s="242"/>
      <c r="H147" s="192"/>
      <c r="I147" s="193"/>
      <c r="J147" s="194"/>
      <c r="K147" s="194"/>
    </row>
    <row r="148" spans="1:11" s="195" customFormat="1" ht="11.25" customHeight="1">
      <c r="A148" s="341"/>
      <c r="B148" s="246"/>
      <c r="C148" s="238" t="s">
        <v>349</v>
      </c>
      <c r="D148" s="240"/>
      <c r="E148" s="287">
        <f>1.5*1</f>
        <v>1.5</v>
      </c>
      <c r="F148" s="242"/>
      <c r="G148" s="242"/>
      <c r="H148" s="192"/>
      <c r="I148" s="193"/>
      <c r="J148" s="194"/>
      <c r="K148" s="194"/>
    </row>
    <row r="149" spans="1:11" s="195" customFormat="1" ht="11.25" customHeight="1">
      <c r="A149" s="341"/>
      <c r="B149" s="246"/>
      <c r="C149" s="238" t="s">
        <v>351</v>
      </c>
      <c r="D149" s="240"/>
      <c r="E149" s="287">
        <f>4.56*1</f>
        <v>4.56</v>
      </c>
      <c r="F149" s="242"/>
      <c r="G149" s="242"/>
      <c r="H149" s="192"/>
      <c r="I149" s="193"/>
      <c r="J149" s="194"/>
      <c r="K149" s="194"/>
    </row>
    <row r="150" spans="1:11" s="195" customFormat="1" ht="11.25" customHeight="1">
      <c r="A150" s="341"/>
      <c r="B150" s="246"/>
      <c r="C150" s="238" t="s">
        <v>353</v>
      </c>
      <c r="D150" s="240"/>
      <c r="E150" s="287">
        <f>1.5*12</f>
        <v>18</v>
      </c>
      <c r="F150" s="242"/>
      <c r="G150" s="242"/>
      <c r="H150" s="192"/>
      <c r="I150" s="193"/>
      <c r="J150" s="194"/>
      <c r="K150" s="194"/>
    </row>
    <row r="151" spans="1:11" s="195" customFormat="1" ht="11.25" customHeight="1">
      <c r="A151" s="341"/>
      <c r="B151" s="246"/>
      <c r="C151" s="238" t="s">
        <v>355</v>
      </c>
      <c r="D151" s="240"/>
      <c r="E151" s="287">
        <f>0.6*3</f>
        <v>1.7999999999999998</v>
      </c>
      <c r="F151" s="242"/>
      <c r="G151" s="242"/>
      <c r="H151" s="192"/>
      <c r="I151" s="193"/>
      <c r="J151" s="194"/>
      <c r="K151" s="194"/>
    </row>
    <row r="152" spans="1:11" s="195" customFormat="1" ht="11.25" customHeight="1">
      <c r="A152" s="341"/>
      <c r="B152" s="246"/>
      <c r="C152" s="238" t="s">
        <v>357</v>
      </c>
      <c r="D152" s="240"/>
      <c r="E152" s="287">
        <f>2.7*2</f>
        <v>5.4</v>
      </c>
      <c r="F152" s="242"/>
      <c r="G152" s="242"/>
      <c r="H152" s="192"/>
      <c r="I152" s="193"/>
      <c r="J152" s="194"/>
      <c r="K152" s="194"/>
    </row>
    <row r="153" spans="1:11" s="195" customFormat="1" ht="11.25" customHeight="1">
      <c r="A153" s="341"/>
      <c r="B153" s="246"/>
      <c r="C153" s="238" t="s">
        <v>359</v>
      </c>
      <c r="D153" s="240"/>
      <c r="E153" s="287">
        <f>3*6</f>
        <v>18</v>
      </c>
      <c r="F153" s="242"/>
      <c r="G153" s="242"/>
      <c r="H153" s="192"/>
      <c r="I153" s="193"/>
      <c r="J153" s="194"/>
      <c r="K153" s="194"/>
    </row>
    <row r="154" spans="1:11" s="195" customFormat="1" ht="11.25" customHeight="1">
      <c r="A154" s="341"/>
      <c r="B154" s="246"/>
      <c r="C154" s="238" t="s">
        <v>361</v>
      </c>
      <c r="D154" s="240"/>
      <c r="E154" s="287">
        <f>0.9*7</f>
        <v>6.3</v>
      </c>
      <c r="F154" s="242"/>
      <c r="G154" s="242"/>
      <c r="H154" s="192"/>
      <c r="I154" s="193"/>
      <c r="J154" s="194"/>
      <c r="K154" s="194"/>
    </row>
    <row r="155" spans="1:11" s="195" customFormat="1" ht="11.25" customHeight="1">
      <c r="A155" s="341"/>
      <c r="B155" s="246"/>
      <c r="C155" s="238" t="s">
        <v>365</v>
      </c>
      <c r="D155" s="240"/>
      <c r="E155" s="287">
        <f>4.5*5</f>
        <v>22.5</v>
      </c>
      <c r="F155" s="242"/>
      <c r="G155" s="242"/>
      <c r="H155" s="192"/>
      <c r="I155" s="193"/>
      <c r="J155" s="194"/>
      <c r="K155" s="194"/>
    </row>
    <row r="156" spans="1:11" s="195" customFormat="1" ht="11.25" customHeight="1">
      <c r="A156" s="341"/>
      <c r="B156" s="246"/>
      <c r="C156" s="238" t="s">
        <v>367</v>
      </c>
      <c r="D156" s="240"/>
      <c r="E156" s="287">
        <f>1*2</f>
        <v>2</v>
      </c>
      <c r="F156" s="242"/>
      <c r="G156" s="242"/>
      <c r="H156" s="192"/>
      <c r="I156" s="193"/>
      <c r="J156" s="194"/>
      <c r="K156" s="194"/>
    </row>
    <row r="157" spans="1:11" s="195" customFormat="1" ht="11.25" customHeight="1">
      <c r="A157" s="341"/>
      <c r="B157" s="246"/>
      <c r="C157" s="238" t="s">
        <v>369</v>
      </c>
      <c r="D157" s="240"/>
      <c r="E157" s="287">
        <f>2.1*3</f>
        <v>6.300000000000001</v>
      </c>
      <c r="F157" s="242"/>
      <c r="G157" s="242"/>
      <c r="H157" s="192"/>
      <c r="I157" s="193"/>
      <c r="J157" s="194"/>
      <c r="K157" s="194"/>
    </row>
    <row r="158" spans="1:11" s="139" customFormat="1" ht="45" customHeight="1">
      <c r="A158" s="363" t="s">
        <v>763</v>
      </c>
      <c r="B158" s="258" t="s">
        <v>318</v>
      </c>
      <c r="C158" s="236" t="s">
        <v>319</v>
      </c>
      <c r="D158" s="227" t="s">
        <v>83</v>
      </c>
      <c r="E158" s="229">
        <v>22</v>
      </c>
      <c r="F158" s="229"/>
      <c r="G158" s="229">
        <f aca="true" t="shared" si="0" ref="G158:G179">E158*F158</f>
        <v>0</v>
      </c>
      <c r="H158" s="136"/>
      <c r="I158" s="188"/>
      <c r="J158" s="138"/>
      <c r="K158" s="138"/>
    </row>
    <row r="159" spans="1:11" s="190" customFormat="1" ht="45" customHeight="1">
      <c r="A159" s="311" t="s">
        <v>764</v>
      </c>
      <c r="B159" s="300" t="s">
        <v>321</v>
      </c>
      <c r="C159" s="236" t="s">
        <v>322</v>
      </c>
      <c r="D159" s="247" t="s">
        <v>83</v>
      </c>
      <c r="E159" s="249">
        <v>24</v>
      </c>
      <c r="F159" s="249"/>
      <c r="G159" s="229">
        <f t="shared" si="0"/>
        <v>0</v>
      </c>
      <c r="H159" s="187"/>
      <c r="I159" s="188"/>
      <c r="J159" s="189"/>
      <c r="K159" s="189"/>
    </row>
    <row r="160" spans="1:11" s="139" customFormat="1" ht="33.75" customHeight="1">
      <c r="A160" s="363" t="s">
        <v>765</v>
      </c>
      <c r="B160" s="258" t="s">
        <v>326</v>
      </c>
      <c r="C160" s="236" t="s">
        <v>327</v>
      </c>
      <c r="D160" s="227" t="s">
        <v>83</v>
      </c>
      <c r="E160" s="229">
        <v>3</v>
      </c>
      <c r="F160" s="229"/>
      <c r="G160" s="229">
        <f t="shared" si="0"/>
        <v>0</v>
      </c>
      <c r="H160" s="136"/>
      <c r="I160" s="188"/>
      <c r="J160" s="138"/>
      <c r="K160" s="138"/>
    </row>
    <row r="161" spans="1:11" s="139" customFormat="1" ht="33.75" customHeight="1">
      <c r="A161" s="363" t="s">
        <v>766</v>
      </c>
      <c r="B161" s="258" t="s">
        <v>329</v>
      </c>
      <c r="C161" s="236" t="s">
        <v>330</v>
      </c>
      <c r="D161" s="227" t="s">
        <v>83</v>
      </c>
      <c r="E161" s="229">
        <v>3</v>
      </c>
      <c r="F161" s="229"/>
      <c r="G161" s="229">
        <f t="shared" si="0"/>
        <v>0</v>
      </c>
      <c r="H161" s="136"/>
      <c r="I161" s="188"/>
      <c r="J161" s="138"/>
      <c r="K161" s="138"/>
    </row>
    <row r="162" spans="1:11" s="139" customFormat="1" ht="33.75" customHeight="1">
      <c r="A162" s="363" t="s">
        <v>767</v>
      </c>
      <c r="B162" s="258" t="s">
        <v>332</v>
      </c>
      <c r="C162" s="236" t="s">
        <v>333</v>
      </c>
      <c r="D162" s="227" t="s">
        <v>83</v>
      </c>
      <c r="E162" s="229">
        <v>2</v>
      </c>
      <c r="F162" s="229"/>
      <c r="G162" s="229">
        <f t="shared" si="0"/>
        <v>0</v>
      </c>
      <c r="H162" s="136"/>
      <c r="I162" s="188"/>
      <c r="J162" s="138"/>
      <c r="K162" s="138"/>
    </row>
    <row r="163" spans="1:11" s="306" customFormat="1" ht="33.75" customHeight="1">
      <c r="A163" s="307" t="s">
        <v>768</v>
      </c>
      <c r="B163" s="304" t="s">
        <v>335</v>
      </c>
      <c r="C163" s="236" t="s">
        <v>336</v>
      </c>
      <c r="D163" s="247" t="s">
        <v>83</v>
      </c>
      <c r="E163" s="249">
        <v>1</v>
      </c>
      <c r="F163" s="249"/>
      <c r="G163" s="229">
        <f t="shared" si="0"/>
        <v>0</v>
      </c>
      <c r="H163" s="187"/>
      <c r="I163" s="188"/>
      <c r="J163" s="305"/>
      <c r="K163" s="305"/>
    </row>
    <row r="164" spans="1:11" s="306" customFormat="1" ht="33.75" customHeight="1">
      <c r="A164" s="307" t="s">
        <v>769</v>
      </c>
      <c r="B164" s="304" t="s">
        <v>338</v>
      </c>
      <c r="C164" s="236" t="s">
        <v>339</v>
      </c>
      <c r="D164" s="247" t="s">
        <v>83</v>
      </c>
      <c r="E164" s="249">
        <v>5</v>
      </c>
      <c r="F164" s="249"/>
      <c r="G164" s="229">
        <f t="shared" si="0"/>
        <v>0</v>
      </c>
      <c r="H164" s="187"/>
      <c r="I164" s="188"/>
      <c r="J164" s="305"/>
      <c r="K164" s="305"/>
    </row>
    <row r="165" spans="1:11" s="306" customFormat="1" ht="45" customHeight="1">
      <c r="A165" s="307" t="s">
        <v>770</v>
      </c>
      <c r="B165" s="304" t="s">
        <v>341</v>
      </c>
      <c r="C165" s="236" t="s">
        <v>342</v>
      </c>
      <c r="D165" s="247" t="s">
        <v>83</v>
      </c>
      <c r="E165" s="249">
        <v>5</v>
      </c>
      <c r="F165" s="249"/>
      <c r="G165" s="229">
        <f t="shared" si="0"/>
        <v>0</v>
      </c>
      <c r="H165" s="187"/>
      <c r="I165" s="188"/>
      <c r="J165" s="305"/>
      <c r="K165" s="305"/>
    </row>
    <row r="166" spans="1:11" s="306" customFormat="1" ht="45" customHeight="1">
      <c r="A166" s="307" t="s">
        <v>771</v>
      </c>
      <c r="B166" s="308">
        <v>60780008</v>
      </c>
      <c r="C166" s="236" t="s">
        <v>344</v>
      </c>
      <c r="D166" s="247" t="s">
        <v>83</v>
      </c>
      <c r="E166" s="249">
        <v>7</v>
      </c>
      <c r="F166" s="249"/>
      <c r="G166" s="229">
        <f t="shared" si="0"/>
        <v>0</v>
      </c>
      <c r="H166" s="187"/>
      <c r="I166" s="188"/>
      <c r="J166" s="305"/>
      <c r="K166" s="305"/>
    </row>
    <row r="167" spans="1:11" s="306" customFormat="1" ht="33.75" customHeight="1">
      <c r="A167" s="307" t="s">
        <v>772</v>
      </c>
      <c r="B167" s="308">
        <v>60780009</v>
      </c>
      <c r="C167" s="236" t="s">
        <v>346</v>
      </c>
      <c r="D167" s="247" t="s">
        <v>83</v>
      </c>
      <c r="E167" s="294">
        <v>2</v>
      </c>
      <c r="F167" s="249"/>
      <c r="G167" s="229">
        <f t="shared" si="0"/>
        <v>0</v>
      </c>
      <c r="H167" s="187"/>
      <c r="I167" s="188"/>
      <c r="J167" s="305"/>
      <c r="K167" s="305"/>
    </row>
    <row r="168" spans="1:11" s="306" customFormat="1" ht="45" customHeight="1">
      <c r="A168" s="307" t="s">
        <v>773</v>
      </c>
      <c r="B168" s="308">
        <v>60780010</v>
      </c>
      <c r="C168" s="236" t="s">
        <v>348</v>
      </c>
      <c r="D168" s="247" t="s">
        <v>83</v>
      </c>
      <c r="E168" s="294">
        <v>2</v>
      </c>
      <c r="F168" s="249"/>
      <c r="G168" s="229">
        <f t="shared" si="0"/>
        <v>0</v>
      </c>
      <c r="H168" s="187"/>
      <c r="I168" s="188"/>
      <c r="J168" s="305"/>
      <c r="K168" s="305"/>
    </row>
    <row r="169" spans="1:11" s="306" customFormat="1" ht="33.75" customHeight="1">
      <c r="A169" s="307" t="s">
        <v>774</v>
      </c>
      <c r="B169" s="308">
        <v>60780011</v>
      </c>
      <c r="C169" s="236" t="s">
        <v>350</v>
      </c>
      <c r="D169" s="247" t="s">
        <v>83</v>
      </c>
      <c r="E169" s="249">
        <v>1</v>
      </c>
      <c r="F169" s="249"/>
      <c r="G169" s="229">
        <f t="shared" si="0"/>
        <v>0</v>
      </c>
      <c r="H169" s="187"/>
      <c r="I169" s="188"/>
      <c r="J169" s="305"/>
      <c r="K169" s="305"/>
    </row>
    <row r="170" spans="1:11" s="306" customFormat="1" ht="45" customHeight="1">
      <c r="A170" s="307" t="s">
        <v>775</v>
      </c>
      <c r="B170" s="308">
        <v>60780012</v>
      </c>
      <c r="C170" s="236" t="s">
        <v>352</v>
      </c>
      <c r="D170" s="247" t="s">
        <v>83</v>
      </c>
      <c r="E170" s="249">
        <v>1</v>
      </c>
      <c r="F170" s="249"/>
      <c r="G170" s="229">
        <f t="shared" si="0"/>
        <v>0</v>
      </c>
      <c r="H170" s="187"/>
      <c r="I170" s="188"/>
      <c r="J170" s="305"/>
      <c r="K170" s="305"/>
    </row>
    <row r="171" spans="1:11" s="306" customFormat="1" ht="33.75" customHeight="1">
      <c r="A171" s="307" t="s">
        <v>776</v>
      </c>
      <c r="B171" s="308">
        <v>60780013</v>
      </c>
      <c r="C171" s="236" t="s">
        <v>354</v>
      </c>
      <c r="D171" s="247" t="s">
        <v>83</v>
      </c>
      <c r="E171" s="294">
        <v>12</v>
      </c>
      <c r="F171" s="249"/>
      <c r="G171" s="229">
        <f t="shared" si="0"/>
        <v>0</v>
      </c>
      <c r="H171" s="187"/>
      <c r="I171" s="188"/>
      <c r="J171" s="305"/>
      <c r="K171" s="305"/>
    </row>
    <row r="172" spans="1:11" s="306" customFormat="1" ht="33.75" customHeight="1">
      <c r="A172" s="307" t="s">
        <v>777</v>
      </c>
      <c r="B172" s="308">
        <v>60780014</v>
      </c>
      <c r="C172" s="236" t="s">
        <v>356</v>
      </c>
      <c r="D172" s="247" t="s">
        <v>83</v>
      </c>
      <c r="E172" s="294">
        <v>3</v>
      </c>
      <c r="F172" s="249"/>
      <c r="G172" s="229">
        <f t="shared" si="0"/>
        <v>0</v>
      </c>
      <c r="H172" s="187"/>
      <c r="I172" s="188"/>
      <c r="J172" s="305"/>
      <c r="K172" s="305"/>
    </row>
    <row r="173" spans="1:11" s="306" customFormat="1" ht="33.75" customHeight="1">
      <c r="A173" s="307" t="s">
        <v>778</v>
      </c>
      <c r="B173" s="308">
        <v>60780015</v>
      </c>
      <c r="C173" s="236" t="s">
        <v>358</v>
      </c>
      <c r="D173" s="247" t="s">
        <v>83</v>
      </c>
      <c r="E173" s="294">
        <v>2</v>
      </c>
      <c r="F173" s="249"/>
      <c r="G173" s="229">
        <f t="shared" si="0"/>
        <v>0</v>
      </c>
      <c r="H173" s="187"/>
      <c r="I173" s="188"/>
      <c r="J173" s="305"/>
      <c r="K173" s="305"/>
    </row>
    <row r="174" spans="1:11" s="306" customFormat="1" ht="45" customHeight="1">
      <c r="A174" s="307" t="s">
        <v>779</v>
      </c>
      <c r="B174" s="308">
        <v>60780016</v>
      </c>
      <c r="C174" s="236" t="s">
        <v>360</v>
      </c>
      <c r="D174" s="247" t="s">
        <v>83</v>
      </c>
      <c r="E174" s="249">
        <v>6</v>
      </c>
      <c r="F174" s="249"/>
      <c r="G174" s="229">
        <f t="shared" si="0"/>
        <v>0</v>
      </c>
      <c r="H174" s="187"/>
      <c r="I174" s="188"/>
      <c r="J174" s="305"/>
      <c r="K174" s="305"/>
    </row>
    <row r="175" spans="1:11" s="306" customFormat="1" ht="45" customHeight="1">
      <c r="A175" s="307" t="s">
        <v>780</v>
      </c>
      <c r="B175" s="308">
        <v>60780017</v>
      </c>
      <c r="C175" s="236" t="s">
        <v>362</v>
      </c>
      <c r="D175" s="247" t="s">
        <v>83</v>
      </c>
      <c r="E175" s="294">
        <v>7</v>
      </c>
      <c r="F175" s="249"/>
      <c r="G175" s="229">
        <f t="shared" si="0"/>
        <v>0</v>
      </c>
      <c r="H175" s="187"/>
      <c r="I175" s="188"/>
      <c r="J175" s="305"/>
      <c r="K175" s="305"/>
    </row>
    <row r="176" spans="1:11" s="306" customFormat="1" ht="33.75" customHeight="1">
      <c r="A176" s="307" t="s">
        <v>781</v>
      </c>
      <c r="B176" s="308">
        <v>60780018</v>
      </c>
      <c r="C176" s="236" t="s">
        <v>364</v>
      </c>
      <c r="D176" s="247" t="s">
        <v>83</v>
      </c>
      <c r="E176" s="294">
        <v>1</v>
      </c>
      <c r="F176" s="249"/>
      <c r="G176" s="229">
        <f t="shared" si="0"/>
        <v>0</v>
      </c>
      <c r="H176" s="187"/>
      <c r="I176" s="188"/>
      <c r="J176" s="305"/>
      <c r="K176" s="305"/>
    </row>
    <row r="177" spans="1:11" s="306" customFormat="1" ht="45" customHeight="1">
      <c r="A177" s="307" t="s">
        <v>782</v>
      </c>
      <c r="B177" s="308">
        <v>60780019</v>
      </c>
      <c r="C177" s="236" t="s">
        <v>366</v>
      </c>
      <c r="D177" s="247" t="s">
        <v>83</v>
      </c>
      <c r="E177" s="294">
        <v>5</v>
      </c>
      <c r="F177" s="249"/>
      <c r="G177" s="229">
        <f t="shared" si="0"/>
        <v>0</v>
      </c>
      <c r="H177" s="187"/>
      <c r="I177" s="188"/>
      <c r="J177" s="305"/>
      <c r="K177" s="305"/>
    </row>
    <row r="178" spans="1:11" s="306" customFormat="1" ht="33.75" customHeight="1">
      <c r="A178" s="307" t="s">
        <v>783</v>
      </c>
      <c r="B178" s="308">
        <v>60780020</v>
      </c>
      <c r="C178" s="236" t="s">
        <v>368</v>
      </c>
      <c r="D178" s="247" t="s">
        <v>83</v>
      </c>
      <c r="E178" s="294">
        <v>2</v>
      </c>
      <c r="F178" s="249"/>
      <c r="G178" s="229">
        <f t="shared" si="0"/>
        <v>0</v>
      </c>
      <c r="H178" s="187"/>
      <c r="I178" s="188"/>
      <c r="J178" s="305"/>
      <c r="K178" s="305"/>
    </row>
    <row r="179" spans="1:11" s="306" customFormat="1" ht="45" customHeight="1">
      <c r="A179" s="307" t="s">
        <v>784</v>
      </c>
      <c r="B179" s="308">
        <v>60780021</v>
      </c>
      <c r="C179" s="236" t="s">
        <v>370</v>
      </c>
      <c r="D179" s="247" t="s">
        <v>83</v>
      </c>
      <c r="E179" s="249">
        <v>3</v>
      </c>
      <c r="F179" s="249"/>
      <c r="G179" s="229">
        <f t="shared" si="0"/>
        <v>0</v>
      </c>
      <c r="H179" s="187"/>
      <c r="I179" s="188"/>
      <c r="J179" s="305"/>
      <c r="K179" s="305"/>
    </row>
    <row r="180" spans="1:11" s="147" customFormat="1" ht="12">
      <c r="A180" s="274"/>
      <c r="B180" s="275" t="s">
        <v>62</v>
      </c>
      <c r="C180" s="231" t="str">
        <f>CONCATENATE(B133," ",C133)</f>
        <v>0064 Osazování výplní otvorů</v>
      </c>
      <c r="D180" s="232"/>
      <c r="E180" s="276"/>
      <c r="F180" s="232"/>
      <c r="G180" s="234">
        <f>SUM(G133:G179)</f>
        <v>0</v>
      </c>
      <c r="H180" s="144"/>
      <c r="I180" s="145"/>
      <c r="J180" s="146"/>
      <c r="K180" s="146"/>
    </row>
    <row r="181" spans="1:11" s="199" customFormat="1" ht="12">
      <c r="A181" s="318" t="s">
        <v>61</v>
      </c>
      <c r="B181" s="319" t="s">
        <v>445</v>
      </c>
      <c r="C181" s="335" t="s">
        <v>446</v>
      </c>
      <c r="D181" s="321"/>
      <c r="E181" s="322"/>
      <c r="F181" s="322"/>
      <c r="G181" s="322"/>
      <c r="H181" s="196"/>
      <c r="I181" s="197"/>
      <c r="J181" s="198"/>
      <c r="K181" s="198"/>
    </row>
    <row r="182" spans="1:11" s="190" customFormat="1" ht="11.25" customHeight="1">
      <c r="A182" s="309" t="s">
        <v>785</v>
      </c>
      <c r="B182" s="295" t="s">
        <v>529</v>
      </c>
      <c r="C182" s="299" t="s">
        <v>530</v>
      </c>
      <c r="D182" s="247" t="s">
        <v>457</v>
      </c>
      <c r="E182" s="249">
        <f>SUM(E183:E184)</f>
        <v>6.299999999999999</v>
      </c>
      <c r="F182" s="249"/>
      <c r="G182" s="249">
        <f>E182*F182</f>
        <v>0</v>
      </c>
      <c r="H182" s="187"/>
      <c r="I182" s="188"/>
      <c r="J182" s="189"/>
      <c r="K182" s="189"/>
    </row>
    <row r="183" spans="1:11" s="190" customFormat="1" ht="11.25" customHeight="1">
      <c r="A183" s="309"/>
      <c r="B183" s="295"/>
      <c r="C183" s="238" t="s">
        <v>532</v>
      </c>
      <c r="D183" s="247"/>
      <c r="E183" s="287">
        <f>40*0.6*0.15</f>
        <v>3.5999999999999996</v>
      </c>
      <c r="F183" s="249"/>
      <c r="G183" s="249"/>
      <c r="H183" s="187"/>
      <c r="I183" s="188"/>
      <c r="J183" s="189"/>
      <c r="K183" s="189"/>
    </row>
    <row r="184" spans="1:11" s="190" customFormat="1" ht="11.25" customHeight="1">
      <c r="A184" s="309"/>
      <c r="B184" s="295"/>
      <c r="C184" s="238" t="s">
        <v>531</v>
      </c>
      <c r="D184" s="247"/>
      <c r="E184" s="287">
        <f>30*0.6*0.15</f>
        <v>2.6999999999999997</v>
      </c>
      <c r="F184" s="249"/>
      <c r="G184" s="249"/>
      <c r="H184" s="187"/>
      <c r="I184" s="188"/>
      <c r="J184" s="189"/>
      <c r="K184" s="189"/>
    </row>
    <row r="185" spans="1:11" s="190" customFormat="1" ht="11.25" customHeight="1">
      <c r="A185" s="309" t="s">
        <v>786</v>
      </c>
      <c r="B185" s="295" t="s">
        <v>533</v>
      </c>
      <c r="C185" s="299" t="s">
        <v>534</v>
      </c>
      <c r="D185" s="247" t="s">
        <v>457</v>
      </c>
      <c r="E185" s="249">
        <f>SUM(E186:E187)</f>
        <v>28</v>
      </c>
      <c r="F185" s="249"/>
      <c r="G185" s="249">
        <f>E185*F185</f>
        <v>0</v>
      </c>
      <c r="H185" s="187"/>
      <c r="I185" s="188"/>
      <c r="J185" s="189"/>
      <c r="K185" s="189"/>
    </row>
    <row r="186" spans="1:11" s="190" customFormat="1" ht="11.25" customHeight="1">
      <c r="A186" s="309"/>
      <c r="B186" s="295"/>
      <c r="C186" s="238" t="s">
        <v>535</v>
      </c>
      <c r="D186" s="247"/>
      <c r="E186" s="287">
        <f>40*1*0.4</f>
        <v>16</v>
      </c>
      <c r="F186" s="249"/>
      <c r="G186" s="249"/>
      <c r="H186" s="187"/>
      <c r="I186" s="188"/>
      <c r="J186" s="189"/>
      <c r="K186" s="189"/>
    </row>
    <row r="187" spans="1:11" s="190" customFormat="1" ht="11.25" customHeight="1">
      <c r="A187" s="309"/>
      <c r="B187" s="295"/>
      <c r="C187" s="238" t="s">
        <v>536</v>
      </c>
      <c r="D187" s="247"/>
      <c r="E187" s="287">
        <f>30*1*0.4</f>
        <v>12</v>
      </c>
      <c r="F187" s="249"/>
      <c r="G187" s="249"/>
      <c r="H187" s="187"/>
      <c r="I187" s="188"/>
      <c r="J187" s="189"/>
      <c r="K187" s="189"/>
    </row>
    <row r="188" spans="1:11" s="190" customFormat="1" ht="33.75" customHeight="1">
      <c r="A188" s="311" t="s">
        <v>787</v>
      </c>
      <c r="B188" s="298">
        <v>212810010</v>
      </c>
      <c r="C188" s="250" t="s">
        <v>521</v>
      </c>
      <c r="D188" s="247" t="s">
        <v>80</v>
      </c>
      <c r="E188" s="249">
        <f>SUM(E189:E190)</f>
        <v>70</v>
      </c>
      <c r="F188" s="249"/>
      <c r="G188" s="249">
        <f>E188*F188</f>
        <v>0</v>
      </c>
      <c r="H188" s="187"/>
      <c r="I188" s="188"/>
      <c r="J188" s="189"/>
      <c r="K188" s="189"/>
    </row>
    <row r="189" spans="1:11" s="195" customFormat="1" ht="11.25" customHeight="1">
      <c r="A189" s="341"/>
      <c r="B189" s="286"/>
      <c r="C189" s="238" t="s">
        <v>522</v>
      </c>
      <c r="D189" s="240"/>
      <c r="E189" s="287">
        <f>40</f>
        <v>40</v>
      </c>
      <c r="F189" s="242"/>
      <c r="G189" s="242"/>
      <c r="H189" s="192"/>
      <c r="I189" s="193"/>
      <c r="J189" s="194"/>
      <c r="K189" s="194"/>
    </row>
    <row r="190" spans="1:11" s="195" customFormat="1" ht="11.25" customHeight="1">
      <c r="A190" s="341"/>
      <c r="B190" s="286"/>
      <c r="C190" s="238" t="s">
        <v>523</v>
      </c>
      <c r="D190" s="240"/>
      <c r="E190" s="287">
        <f>30</f>
        <v>30</v>
      </c>
      <c r="F190" s="242"/>
      <c r="G190" s="242"/>
      <c r="H190" s="192"/>
      <c r="I190" s="193"/>
      <c r="J190" s="194"/>
      <c r="K190" s="194"/>
    </row>
    <row r="191" spans="1:11" s="190" customFormat="1" ht="11.25" customHeight="1">
      <c r="A191" s="309" t="s">
        <v>788</v>
      </c>
      <c r="B191" s="295" t="s">
        <v>525</v>
      </c>
      <c r="C191" s="299" t="s">
        <v>526</v>
      </c>
      <c r="D191" s="247" t="s">
        <v>80</v>
      </c>
      <c r="E191" s="249">
        <f>SUM(E192)</f>
        <v>20</v>
      </c>
      <c r="F191" s="249"/>
      <c r="G191" s="249">
        <f>E191*F191</f>
        <v>0</v>
      </c>
      <c r="H191" s="187"/>
      <c r="I191" s="188"/>
      <c r="J191" s="189"/>
      <c r="K191" s="189"/>
    </row>
    <row r="192" spans="1:11" s="195" customFormat="1" ht="11.25" customHeight="1">
      <c r="A192" s="341"/>
      <c r="B192" s="286"/>
      <c r="C192" s="238" t="s">
        <v>527</v>
      </c>
      <c r="D192" s="240"/>
      <c r="E192" s="287">
        <f>10*2</f>
        <v>20</v>
      </c>
      <c r="F192" s="242"/>
      <c r="G192" s="242"/>
      <c r="H192" s="192"/>
      <c r="I192" s="193"/>
      <c r="J192" s="194"/>
      <c r="K192" s="194"/>
    </row>
    <row r="193" spans="1:11" s="190" customFormat="1" ht="22.5" customHeight="1">
      <c r="A193" s="311" t="s">
        <v>789</v>
      </c>
      <c r="B193" s="298">
        <v>831359999</v>
      </c>
      <c r="C193" s="250" t="s">
        <v>528</v>
      </c>
      <c r="D193" s="247" t="s">
        <v>83</v>
      </c>
      <c r="E193" s="249">
        <f>2</f>
        <v>2</v>
      </c>
      <c r="F193" s="249"/>
      <c r="G193" s="249">
        <f>E193*F193</f>
        <v>0</v>
      </c>
      <c r="H193" s="187"/>
      <c r="I193" s="188"/>
      <c r="J193" s="189"/>
      <c r="K193" s="189"/>
    </row>
    <row r="194" spans="1:11" s="190" customFormat="1" ht="22.5" customHeight="1">
      <c r="A194" s="311" t="s">
        <v>802</v>
      </c>
      <c r="B194" s="298">
        <v>894431211</v>
      </c>
      <c r="C194" s="250" t="s">
        <v>524</v>
      </c>
      <c r="D194" s="247" t="s">
        <v>83</v>
      </c>
      <c r="E194" s="249">
        <f>4</f>
        <v>4</v>
      </c>
      <c r="F194" s="249"/>
      <c r="G194" s="249">
        <f>E194*F194</f>
        <v>0</v>
      </c>
      <c r="H194" s="187"/>
      <c r="I194" s="188"/>
      <c r="J194" s="189"/>
      <c r="K194" s="189"/>
    </row>
    <row r="195" spans="1:11" s="190" customFormat="1" ht="11.25" customHeight="1">
      <c r="A195" s="309" t="s">
        <v>811</v>
      </c>
      <c r="B195" s="295" t="s">
        <v>803</v>
      </c>
      <c r="C195" s="299" t="s">
        <v>804</v>
      </c>
      <c r="D195" s="247" t="s">
        <v>93</v>
      </c>
      <c r="E195" s="249">
        <v>62.27</v>
      </c>
      <c r="F195" s="249"/>
      <c r="G195" s="249"/>
      <c r="H195" s="187"/>
      <c r="I195" s="188"/>
      <c r="J195" s="189"/>
      <c r="K195" s="189"/>
    </row>
    <row r="196" spans="1:11" s="147" customFormat="1" ht="12">
      <c r="A196" s="274"/>
      <c r="B196" s="275" t="s">
        <v>62</v>
      </c>
      <c r="C196" s="231" t="str">
        <f>CONCATENATE(B181," ",C181)</f>
        <v>008 Trubní vedení</v>
      </c>
      <c r="D196" s="232"/>
      <c r="E196" s="276"/>
      <c r="F196" s="232"/>
      <c r="G196" s="234">
        <f>SUM(G181:G194)</f>
        <v>0</v>
      </c>
      <c r="H196" s="144"/>
      <c r="I196" s="145"/>
      <c r="J196" s="146"/>
      <c r="K196" s="146"/>
    </row>
    <row r="197" spans="1:11" s="143" customFormat="1" ht="12">
      <c r="A197" s="220" t="s">
        <v>61</v>
      </c>
      <c r="B197" s="221" t="s">
        <v>78</v>
      </c>
      <c r="C197" s="220" t="s">
        <v>77</v>
      </c>
      <c r="D197" s="222"/>
      <c r="E197" s="223"/>
      <c r="F197" s="223"/>
      <c r="G197" s="223"/>
      <c r="H197" s="140"/>
      <c r="I197" s="141"/>
      <c r="J197" s="142"/>
      <c r="K197" s="142"/>
    </row>
    <row r="198" spans="1:11" s="139" customFormat="1" ht="33.75" customHeight="1">
      <c r="A198" s="355">
        <v>76</v>
      </c>
      <c r="B198" s="235" t="s">
        <v>100</v>
      </c>
      <c r="C198" s="236" t="s">
        <v>167</v>
      </c>
      <c r="D198" s="227" t="s">
        <v>63</v>
      </c>
      <c r="E198" s="228">
        <f>SUM(E199:E201)</f>
        <v>223.90875000000003</v>
      </c>
      <c r="F198" s="229"/>
      <c r="G198" s="229">
        <f>E198*F198</f>
        <v>0</v>
      </c>
      <c r="H198" s="136"/>
      <c r="I198" s="137"/>
      <c r="J198" s="138"/>
      <c r="K198" s="138"/>
    </row>
    <row r="199" spans="1:11" s="195" customFormat="1" ht="11.25" customHeight="1">
      <c r="A199" s="365"/>
      <c r="B199" s="239"/>
      <c r="C199" s="191" t="s">
        <v>169</v>
      </c>
      <c r="D199" s="240"/>
      <c r="E199" s="359">
        <f>(8.225+3.45*4+2.25+3.25)*3.25</f>
        <v>89.45625</v>
      </c>
      <c r="F199" s="242"/>
      <c r="G199" s="242"/>
      <c r="H199" s="192"/>
      <c r="I199" s="193"/>
      <c r="J199" s="194"/>
      <c r="K199" s="194"/>
    </row>
    <row r="200" spans="1:11" s="195" customFormat="1" ht="11.25" customHeight="1">
      <c r="A200" s="365"/>
      <c r="B200" s="216"/>
      <c r="C200" s="238" t="s">
        <v>170</v>
      </c>
      <c r="D200" s="240"/>
      <c r="E200" s="287">
        <f>(8.225*2+5.9+2+3.3)*3.25</f>
        <v>89.86250000000001</v>
      </c>
      <c r="F200" s="242"/>
      <c r="G200" s="242"/>
      <c r="H200" s="192"/>
      <c r="I200" s="193"/>
      <c r="J200" s="194"/>
      <c r="K200" s="194"/>
    </row>
    <row r="201" spans="1:11" s="195" customFormat="1" ht="11.25" customHeight="1">
      <c r="A201" s="365"/>
      <c r="B201" s="216"/>
      <c r="C201" s="238" t="s">
        <v>171</v>
      </c>
      <c r="D201" s="240"/>
      <c r="E201" s="287">
        <f>(2.22+2.375+3.325+2.35+3.45)*3.25</f>
        <v>44.59000000000001</v>
      </c>
      <c r="F201" s="242"/>
      <c r="G201" s="242"/>
      <c r="H201" s="192"/>
      <c r="I201" s="193"/>
      <c r="J201" s="194"/>
      <c r="K201" s="194"/>
    </row>
    <row r="202" spans="1:11" s="139" customFormat="1" ht="45" customHeight="1">
      <c r="A202" s="355">
        <v>77</v>
      </c>
      <c r="B202" s="235" t="s">
        <v>101</v>
      </c>
      <c r="C202" s="236" t="s">
        <v>166</v>
      </c>
      <c r="D202" s="227" t="s">
        <v>63</v>
      </c>
      <c r="E202" s="228">
        <f>SUM(E203:E205)</f>
        <v>741.5250000000001</v>
      </c>
      <c r="F202" s="229"/>
      <c r="G202" s="229">
        <f>E202*F202</f>
        <v>0</v>
      </c>
      <c r="H202" s="136"/>
      <c r="I202" s="137"/>
      <c r="J202" s="138"/>
      <c r="K202" s="138"/>
    </row>
    <row r="203" spans="1:11" s="195" customFormat="1" ht="33.75" customHeight="1">
      <c r="A203" s="240"/>
      <c r="B203" s="239"/>
      <c r="C203" s="253" t="s">
        <v>174</v>
      </c>
      <c r="D203" s="240"/>
      <c r="E203" s="359">
        <f>(4.975+4.55+2.35+2.2+4.65+3.425*4+2.5+2.375*2+4.5+3.45*2+3.475+2.25+4.625+3.25*2+3.35*2+4.775)*3</f>
        <v>238.20000000000002</v>
      </c>
      <c r="F203" s="242"/>
      <c r="G203" s="242"/>
      <c r="H203" s="192"/>
      <c r="I203" s="193"/>
      <c r="J203" s="194"/>
      <c r="K203" s="194"/>
    </row>
    <row r="204" spans="1:11" s="195" customFormat="1" ht="45" customHeight="1">
      <c r="A204" s="240"/>
      <c r="B204" s="239"/>
      <c r="C204" s="254" t="s">
        <v>175</v>
      </c>
      <c r="D204" s="240"/>
      <c r="E204" s="287">
        <f>(3.425*2+2.375*3+7.55+2.15+2.25+3.493+3.451+3.25*2+7.95+3.35+3.3*2+3.325+3.55+2.2+2.225+3.575*2+2.125*2+4.525)*3</f>
        <v>253.48200000000003</v>
      </c>
      <c r="F204" s="242"/>
      <c r="G204" s="242"/>
      <c r="H204" s="192"/>
      <c r="I204" s="193"/>
      <c r="J204" s="194"/>
      <c r="K204" s="194"/>
    </row>
    <row r="205" spans="1:11" s="195" customFormat="1" ht="33.75" customHeight="1">
      <c r="A205" s="240"/>
      <c r="B205" s="239"/>
      <c r="C205" s="254" t="s">
        <v>176</v>
      </c>
      <c r="D205" s="240"/>
      <c r="E205" s="287">
        <f>(4.65+2.2+2.277+3.324+2.375*5+3.325*3+2.4+4.88+3.25+3.425*2+3.35*4+3.575*2+2.225*2+3.3*2)*3</f>
        <v>249.84300000000002</v>
      </c>
      <c r="F205" s="242"/>
      <c r="G205" s="242"/>
      <c r="H205" s="192"/>
      <c r="I205" s="193"/>
      <c r="J205" s="194"/>
      <c r="K205" s="194"/>
    </row>
    <row r="206" spans="1:11" s="139" customFormat="1" ht="11.25" customHeight="1">
      <c r="A206" s="227">
        <v>78</v>
      </c>
      <c r="B206" s="225" t="s">
        <v>108</v>
      </c>
      <c r="C206" s="226" t="s">
        <v>168</v>
      </c>
      <c r="D206" s="227" t="s">
        <v>83</v>
      </c>
      <c r="E206" s="228">
        <v>2</v>
      </c>
      <c r="F206" s="229"/>
      <c r="G206" s="229">
        <f>E206*F206</f>
        <v>0</v>
      </c>
      <c r="H206" s="136"/>
      <c r="I206" s="137"/>
      <c r="J206" s="138"/>
      <c r="K206" s="138"/>
    </row>
    <row r="207" spans="1:11" s="139" customFormat="1" ht="22.5" customHeight="1">
      <c r="A207" s="355">
        <v>79</v>
      </c>
      <c r="B207" s="235" t="s">
        <v>116</v>
      </c>
      <c r="C207" s="236" t="s">
        <v>622</v>
      </c>
      <c r="D207" s="227" t="s">
        <v>83</v>
      </c>
      <c r="E207" s="228">
        <v>4</v>
      </c>
      <c r="F207" s="229"/>
      <c r="G207" s="229">
        <f aca="true" t="shared" si="1" ref="G207:G232">E207*F207</f>
        <v>0</v>
      </c>
      <c r="H207" s="136"/>
      <c r="I207" s="137"/>
      <c r="J207" s="138"/>
      <c r="K207" s="138"/>
    </row>
    <row r="208" spans="1:11" s="190" customFormat="1" ht="22.35" customHeight="1">
      <c r="A208" s="297">
        <v>80</v>
      </c>
      <c r="B208" s="252" t="s">
        <v>122</v>
      </c>
      <c r="C208" s="250" t="s">
        <v>628</v>
      </c>
      <c r="D208" s="247" t="s">
        <v>94</v>
      </c>
      <c r="E208" s="248">
        <v>1</v>
      </c>
      <c r="F208" s="249"/>
      <c r="G208" s="229">
        <f t="shared" si="1"/>
        <v>0</v>
      </c>
      <c r="H208" s="187"/>
      <c r="I208" s="188"/>
      <c r="J208" s="189"/>
      <c r="K208" s="189"/>
    </row>
    <row r="209" spans="1:11" s="190" customFormat="1" ht="22.5" customHeight="1">
      <c r="A209" s="297">
        <v>81</v>
      </c>
      <c r="B209" s="252" t="s">
        <v>144</v>
      </c>
      <c r="C209" s="257" t="s">
        <v>184</v>
      </c>
      <c r="D209" s="247" t="s">
        <v>94</v>
      </c>
      <c r="E209" s="248">
        <v>1</v>
      </c>
      <c r="F209" s="249"/>
      <c r="G209" s="229">
        <f t="shared" si="1"/>
        <v>0</v>
      </c>
      <c r="H209" s="187"/>
      <c r="I209" s="188"/>
      <c r="J209" s="189"/>
      <c r="K209" s="189"/>
    </row>
    <row r="210" spans="1:11" s="190" customFormat="1" ht="33.75" customHeight="1">
      <c r="A210" s="297">
        <v>82</v>
      </c>
      <c r="B210" s="252" t="s">
        <v>146</v>
      </c>
      <c r="C210" s="250" t="s">
        <v>177</v>
      </c>
      <c r="D210" s="247" t="s">
        <v>94</v>
      </c>
      <c r="E210" s="248">
        <v>1</v>
      </c>
      <c r="F210" s="249"/>
      <c r="G210" s="229">
        <f t="shared" si="1"/>
        <v>0</v>
      </c>
      <c r="H210" s="187"/>
      <c r="I210" s="188"/>
      <c r="J210" s="189"/>
      <c r="K210" s="189"/>
    </row>
    <row r="211" spans="1:11" s="139" customFormat="1" ht="22.5" customHeight="1">
      <c r="A211" s="355">
        <v>83</v>
      </c>
      <c r="B211" s="256" t="s">
        <v>147</v>
      </c>
      <c r="C211" s="255" t="s">
        <v>178</v>
      </c>
      <c r="D211" s="227" t="s">
        <v>94</v>
      </c>
      <c r="E211" s="228">
        <v>1</v>
      </c>
      <c r="F211" s="229"/>
      <c r="G211" s="229">
        <f t="shared" si="1"/>
        <v>0</v>
      </c>
      <c r="H211" s="136"/>
      <c r="I211" s="137"/>
      <c r="J211" s="138"/>
      <c r="K211" s="138"/>
    </row>
    <row r="212" spans="1:11" s="139" customFormat="1" ht="22.5" customHeight="1">
      <c r="A212" s="355">
        <v>84</v>
      </c>
      <c r="B212" s="256" t="s">
        <v>149</v>
      </c>
      <c r="C212" s="255" t="s">
        <v>179</v>
      </c>
      <c r="D212" s="227" t="s">
        <v>94</v>
      </c>
      <c r="E212" s="228">
        <v>1</v>
      </c>
      <c r="F212" s="229"/>
      <c r="G212" s="229">
        <f t="shared" si="1"/>
        <v>0</v>
      </c>
      <c r="H212" s="136"/>
      <c r="I212" s="137"/>
      <c r="J212" s="138"/>
      <c r="K212" s="138"/>
    </row>
    <row r="213" spans="1:11" s="139" customFormat="1" ht="22.5" customHeight="1">
      <c r="A213" s="355">
        <v>85</v>
      </c>
      <c r="B213" s="256" t="s">
        <v>150</v>
      </c>
      <c r="C213" s="255" t="s">
        <v>180</v>
      </c>
      <c r="D213" s="227" t="s">
        <v>83</v>
      </c>
      <c r="E213" s="228">
        <v>1</v>
      </c>
      <c r="F213" s="229"/>
      <c r="G213" s="229">
        <f t="shared" si="1"/>
        <v>0</v>
      </c>
      <c r="H213" s="136"/>
      <c r="I213" s="137"/>
      <c r="J213" s="138"/>
      <c r="K213" s="138"/>
    </row>
    <row r="214" spans="1:11" s="139" customFormat="1" ht="22.5" customHeight="1">
      <c r="A214" s="355">
        <v>86</v>
      </c>
      <c r="B214" s="256" t="s">
        <v>182</v>
      </c>
      <c r="C214" s="255" t="s">
        <v>181</v>
      </c>
      <c r="D214" s="227" t="s">
        <v>83</v>
      </c>
      <c r="E214" s="228">
        <v>1</v>
      </c>
      <c r="F214" s="229"/>
      <c r="G214" s="229">
        <f t="shared" si="1"/>
        <v>0</v>
      </c>
      <c r="H214" s="136"/>
      <c r="I214" s="137"/>
      <c r="J214" s="138"/>
      <c r="K214" s="138"/>
    </row>
    <row r="215" spans="1:11" s="139" customFormat="1" ht="22.5" customHeight="1">
      <c r="A215" s="355">
        <v>87</v>
      </c>
      <c r="B215" s="256" t="s">
        <v>151</v>
      </c>
      <c r="C215" s="255" t="s">
        <v>183</v>
      </c>
      <c r="D215" s="227" t="s">
        <v>83</v>
      </c>
      <c r="E215" s="228">
        <v>1</v>
      </c>
      <c r="F215" s="229"/>
      <c r="G215" s="229">
        <f t="shared" si="1"/>
        <v>0</v>
      </c>
      <c r="H215" s="136"/>
      <c r="I215" s="137"/>
      <c r="J215" s="138"/>
      <c r="K215" s="138"/>
    </row>
    <row r="216" spans="1:11" s="139" customFormat="1" ht="22.5" customHeight="1">
      <c r="A216" s="355">
        <v>88</v>
      </c>
      <c r="B216" s="256" t="s">
        <v>152</v>
      </c>
      <c r="C216" s="255" t="s">
        <v>630</v>
      </c>
      <c r="D216" s="227" t="s">
        <v>94</v>
      </c>
      <c r="E216" s="228">
        <v>1</v>
      </c>
      <c r="F216" s="229"/>
      <c r="G216" s="229">
        <f t="shared" si="1"/>
        <v>0</v>
      </c>
      <c r="H216" s="136"/>
      <c r="I216" s="137"/>
      <c r="J216" s="138"/>
      <c r="K216" s="138"/>
    </row>
    <row r="217" spans="1:11" s="139" customFormat="1" ht="33.75" customHeight="1">
      <c r="A217" s="355">
        <v>89</v>
      </c>
      <c r="B217" s="256" t="s">
        <v>153</v>
      </c>
      <c r="C217" s="255" t="s">
        <v>644</v>
      </c>
      <c r="D217" s="227" t="s">
        <v>94</v>
      </c>
      <c r="E217" s="228">
        <v>1</v>
      </c>
      <c r="F217" s="229"/>
      <c r="G217" s="229">
        <f t="shared" si="1"/>
        <v>0</v>
      </c>
      <c r="H217" s="136"/>
      <c r="I217" s="137"/>
      <c r="J217" s="138"/>
      <c r="K217" s="138"/>
    </row>
    <row r="218" spans="1:11" s="139" customFormat="1" ht="45" customHeight="1">
      <c r="A218" s="355">
        <v>90</v>
      </c>
      <c r="B218" s="256" t="s">
        <v>154</v>
      </c>
      <c r="C218" s="255" t="s">
        <v>645</v>
      </c>
      <c r="D218" s="227" t="s">
        <v>94</v>
      </c>
      <c r="E218" s="228">
        <v>1</v>
      </c>
      <c r="F218" s="229"/>
      <c r="G218" s="229">
        <f t="shared" si="1"/>
        <v>0</v>
      </c>
      <c r="H218" s="136"/>
      <c r="I218" s="137"/>
      <c r="J218" s="138"/>
      <c r="K218" s="138"/>
    </row>
    <row r="219" spans="1:11" s="139" customFormat="1" ht="45" customHeight="1">
      <c r="A219" s="355">
        <v>91</v>
      </c>
      <c r="B219" s="256" t="s">
        <v>155</v>
      </c>
      <c r="C219" s="255" t="s">
        <v>646</v>
      </c>
      <c r="D219" s="227" t="s">
        <v>83</v>
      </c>
      <c r="E219" s="228">
        <v>4</v>
      </c>
      <c r="F219" s="229"/>
      <c r="G219" s="229">
        <f t="shared" si="1"/>
        <v>0</v>
      </c>
      <c r="H219" s="136"/>
      <c r="I219" s="137"/>
      <c r="J219" s="138"/>
      <c r="K219" s="138"/>
    </row>
    <row r="220" spans="1:11" s="139" customFormat="1" ht="22.5" customHeight="1">
      <c r="A220" s="355">
        <v>92</v>
      </c>
      <c r="B220" s="256" t="s">
        <v>156</v>
      </c>
      <c r="C220" s="255" t="s">
        <v>665</v>
      </c>
      <c r="D220" s="227" t="s">
        <v>83</v>
      </c>
      <c r="E220" s="228">
        <v>2</v>
      </c>
      <c r="F220" s="229"/>
      <c r="G220" s="229">
        <f t="shared" si="1"/>
        <v>0</v>
      </c>
      <c r="H220" s="136"/>
      <c r="I220" s="137"/>
      <c r="J220" s="138"/>
      <c r="K220" s="138"/>
    </row>
    <row r="221" spans="1:11" s="139" customFormat="1" ht="22.5" customHeight="1">
      <c r="A221" s="355">
        <v>93</v>
      </c>
      <c r="B221" s="256" t="s">
        <v>157</v>
      </c>
      <c r="C221" s="255" t="s">
        <v>667</v>
      </c>
      <c r="D221" s="227" t="s">
        <v>83</v>
      </c>
      <c r="E221" s="228">
        <v>1</v>
      </c>
      <c r="F221" s="229"/>
      <c r="G221" s="229">
        <f t="shared" si="1"/>
        <v>0</v>
      </c>
      <c r="H221" s="136"/>
      <c r="I221" s="137"/>
      <c r="J221" s="138"/>
      <c r="K221" s="138"/>
    </row>
    <row r="222" spans="1:11" s="139" customFormat="1" ht="11.25" customHeight="1">
      <c r="A222" s="227">
        <v>94</v>
      </c>
      <c r="B222" s="225" t="s">
        <v>631</v>
      </c>
      <c r="C222" s="226" t="s">
        <v>666</v>
      </c>
      <c r="D222" s="227" t="s">
        <v>83</v>
      </c>
      <c r="E222" s="228">
        <v>1</v>
      </c>
      <c r="F222" s="229"/>
      <c r="G222" s="229">
        <f t="shared" si="1"/>
        <v>0</v>
      </c>
      <c r="H222" s="136"/>
      <c r="I222" s="137"/>
      <c r="J222" s="138"/>
      <c r="K222" s="138"/>
    </row>
    <row r="223" spans="1:11" s="139" customFormat="1" ht="22.5" customHeight="1">
      <c r="A223" s="355">
        <v>95</v>
      </c>
      <c r="B223" s="256" t="s">
        <v>643</v>
      </c>
      <c r="C223" s="255" t="s">
        <v>711</v>
      </c>
      <c r="D223" s="227" t="s">
        <v>83</v>
      </c>
      <c r="E223" s="228">
        <v>1</v>
      </c>
      <c r="F223" s="229"/>
      <c r="G223" s="229">
        <f t="shared" si="1"/>
        <v>0</v>
      </c>
      <c r="H223" s="136"/>
      <c r="I223" s="137"/>
      <c r="J223" s="138"/>
      <c r="K223" s="138"/>
    </row>
    <row r="224" spans="1:11" s="139" customFormat="1" ht="22.5" customHeight="1">
      <c r="A224" s="355">
        <v>96</v>
      </c>
      <c r="B224" s="256" t="s">
        <v>647</v>
      </c>
      <c r="C224" s="255" t="s">
        <v>682</v>
      </c>
      <c r="D224" s="227" t="s">
        <v>49</v>
      </c>
      <c r="E224" s="228">
        <v>1</v>
      </c>
      <c r="F224" s="229"/>
      <c r="G224" s="229">
        <f t="shared" si="1"/>
        <v>0</v>
      </c>
      <c r="H224" s="136"/>
      <c r="I224" s="137"/>
      <c r="J224" s="138"/>
      <c r="K224" s="138"/>
    </row>
    <row r="225" spans="1:11" s="139" customFormat="1" ht="22.5" customHeight="1">
      <c r="A225" s="355">
        <v>97</v>
      </c>
      <c r="B225" s="256" t="s">
        <v>648</v>
      </c>
      <c r="C225" s="255" t="s">
        <v>258</v>
      </c>
      <c r="D225" s="227" t="s">
        <v>49</v>
      </c>
      <c r="E225" s="228">
        <v>1</v>
      </c>
      <c r="F225" s="229"/>
      <c r="G225" s="229">
        <f t="shared" si="1"/>
        <v>0</v>
      </c>
      <c r="H225" s="136"/>
      <c r="I225" s="137"/>
      <c r="J225" s="138"/>
      <c r="K225" s="138"/>
    </row>
    <row r="226" spans="1:11" s="139" customFormat="1" ht="11.25" customHeight="1">
      <c r="A226" s="227">
        <v>98</v>
      </c>
      <c r="B226" s="225" t="s">
        <v>668</v>
      </c>
      <c r="C226" s="226" t="s">
        <v>679</v>
      </c>
      <c r="D226" s="227" t="s">
        <v>680</v>
      </c>
      <c r="E226" s="228">
        <v>90</v>
      </c>
      <c r="F226" s="229"/>
      <c r="G226" s="229">
        <f t="shared" si="1"/>
        <v>0</v>
      </c>
      <c r="H226" s="136"/>
      <c r="I226" s="137"/>
      <c r="J226" s="138"/>
      <c r="K226" s="138"/>
    </row>
    <row r="227" spans="1:11" s="139" customFormat="1" ht="11.25" customHeight="1">
      <c r="A227" s="227">
        <v>99</v>
      </c>
      <c r="B227" s="225" t="s">
        <v>669</v>
      </c>
      <c r="C227" s="226" t="s">
        <v>678</v>
      </c>
      <c r="D227" s="227" t="s">
        <v>681</v>
      </c>
      <c r="E227" s="228">
        <v>5</v>
      </c>
      <c r="F227" s="229"/>
      <c r="G227" s="229">
        <f t="shared" si="1"/>
        <v>0</v>
      </c>
      <c r="H227" s="136"/>
      <c r="I227" s="137"/>
      <c r="J227" s="138"/>
      <c r="K227" s="138"/>
    </row>
    <row r="228" spans="1:11" s="139" customFormat="1" ht="33.75" customHeight="1">
      <c r="A228" s="355">
        <v>100</v>
      </c>
      <c r="B228" s="256" t="s">
        <v>670</v>
      </c>
      <c r="C228" s="236" t="s">
        <v>158</v>
      </c>
      <c r="D228" s="227" t="s">
        <v>49</v>
      </c>
      <c r="E228" s="228">
        <v>1</v>
      </c>
      <c r="F228" s="229"/>
      <c r="G228" s="229">
        <f t="shared" si="1"/>
        <v>0</v>
      </c>
      <c r="H228" s="136"/>
      <c r="I228" s="137"/>
      <c r="J228" s="138"/>
      <c r="K228" s="138"/>
    </row>
    <row r="229" spans="1:11" s="139" customFormat="1" ht="11.25" customHeight="1">
      <c r="A229" s="227">
        <v>101</v>
      </c>
      <c r="B229" s="225" t="s">
        <v>689</v>
      </c>
      <c r="C229" s="226" t="s">
        <v>690</v>
      </c>
      <c r="D229" s="227" t="s">
        <v>49</v>
      </c>
      <c r="E229" s="228">
        <v>1</v>
      </c>
      <c r="F229" s="229"/>
      <c r="G229" s="229">
        <f t="shared" si="1"/>
        <v>0</v>
      </c>
      <c r="H229" s="136"/>
      <c r="I229" s="137"/>
      <c r="J229" s="138"/>
      <c r="K229" s="138"/>
    </row>
    <row r="230" spans="1:11" s="139" customFormat="1" ht="11.25" customHeight="1">
      <c r="A230" s="227">
        <v>102</v>
      </c>
      <c r="B230" s="225" t="s">
        <v>691</v>
      </c>
      <c r="C230" s="226" t="s">
        <v>694</v>
      </c>
      <c r="D230" s="227" t="s">
        <v>49</v>
      </c>
      <c r="E230" s="228">
        <v>1</v>
      </c>
      <c r="F230" s="229"/>
      <c r="G230" s="229">
        <f t="shared" si="1"/>
        <v>0</v>
      </c>
      <c r="H230" s="136"/>
      <c r="I230" s="137"/>
      <c r="J230" s="138"/>
      <c r="K230" s="138"/>
    </row>
    <row r="231" spans="1:11" s="139" customFormat="1" ht="11.25" customHeight="1">
      <c r="A231" s="227">
        <v>103</v>
      </c>
      <c r="B231" s="225" t="s">
        <v>692</v>
      </c>
      <c r="C231" s="224" t="s">
        <v>696</v>
      </c>
      <c r="D231" s="227" t="s">
        <v>49</v>
      </c>
      <c r="E231" s="228">
        <v>1</v>
      </c>
      <c r="F231" s="229"/>
      <c r="G231" s="229">
        <f t="shared" si="1"/>
        <v>0</v>
      </c>
      <c r="H231" s="136"/>
      <c r="I231" s="137"/>
      <c r="J231" s="138"/>
      <c r="K231" s="138"/>
    </row>
    <row r="232" spans="1:11" s="139" customFormat="1" ht="22.5" customHeight="1">
      <c r="A232" s="355">
        <v>104</v>
      </c>
      <c r="B232" s="256" t="s">
        <v>693</v>
      </c>
      <c r="C232" s="236" t="s">
        <v>695</v>
      </c>
      <c r="D232" s="227" t="s">
        <v>49</v>
      </c>
      <c r="E232" s="228">
        <v>1</v>
      </c>
      <c r="F232" s="229"/>
      <c r="G232" s="229">
        <f t="shared" si="1"/>
        <v>0</v>
      </c>
      <c r="H232" s="136"/>
      <c r="I232" s="137"/>
      <c r="J232" s="138"/>
      <c r="K232" s="138"/>
    </row>
    <row r="233" spans="1:11" s="147" customFormat="1" ht="12">
      <c r="A233" s="230"/>
      <c r="B233" s="231" t="s">
        <v>62</v>
      </c>
      <c r="C233" s="231" t="str">
        <f>CONCATENATE(B197," ",C197)</f>
        <v>009 Ostatní konstrukce a práce</v>
      </c>
      <c r="D233" s="232"/>
      <c r="E233" s="233"/>
      <c r="F233" s="233"/>
      <c r="G233" s="234">
        <f>SUM(G197:G232)</f>
        <v>0</v>
      </c>
      <c r="H233" s="144"/>
      <c r="I233" s="145"/>
      <c r="J233" s="146"/>
      <c r="K233" s="146"/>
    </row>
    <row r="234" spans="1:11" s="143" customFormat="1" ht="12">
      <c r="A234" s="220" t="s">
        <v>61</v>
      </c>
      <c r="B234" s="221" t="s">
        <v>76</v>
      </c>
      <c r="C234" s="220" t="s">
        <v>164</v>
      </c>
      <c r="D234" s="222"/>
      <c r="E234" s="223"/>
      <c r="F234" s="223"/>
      <c r="G234" s="223"/>
      <c r="H234" s="140"/>
      <c r="I234" s="141"/>
      <c r="J234" s="142"/>
      <c r="K234" s="142"/>
    </row>
    <row r="235" spans="1:11" s="139" customFormat="1" ht="11.25" customHeight="1">
      <c r="A235" s="227">
        <v>105</v>
      </c>
      <c r="B235" s="225" t="s">
        <v>707</v>
      </c>
      <c r="C235" s="224" t="s">
        <v>708</v>
      </c>
      <c r="D235" s="227" t="s">
        <v>63</v>
      </c>
      <c r="E235" s="229">
        <v>395.5</v>
      </c>
      <c r="F235" s="229"/>
      <c r="G235" s="229">
        <f>E235*F235</f>
        <v>0</v>
      </c>
      <c r="H235" s="136"/>
      <c r="I235" s="188"/>
      <c r="J235" s="138"/>
      <c r="K235" s="138"/>
    </row>
    <row r="236" spans="1:11" s="139" customFormat="1" ht="11.25" customHeight="1">
      <c r="A236" s="227">
        <v>106</v>
      </c>
      <c r="B236" s="225" t="s">
        <v>705</v>
      </c>
      <c r="C236" s="224" t="s">
        <v>706</v>
      </c>
      <c r="D236" s="227" t="s">
        <v>63</v>
      </c>
      <c r="E236" s="229">
        <v>17.7</v>
      </c>
      <c r="F236" s="229"/>
      <c r="G236" s="229">
        <f aca="true" t="shared" si="2" ref="G236:G244">E236*F236</f>
        <v>0</v>
      </c>
      <c r="H236" s="136"/>
      <c r="I236" s="188"/>
      <c r="J236" s="138"/>
      <c r="K236" s="138"/>
    </row>
    <row r="237" spans="1:11" s="139" customFormat="1" ht="11.25" customHeight="1">
      <c r="A237" s="227">
        <v>107</v>
      </c>
      <c r="B237" s="225" t="s">
        <v>703</v>
      </c>
      <c r="C237" s="224" t="s">
        <v>704</v>
      </c>
      <c r="D237" s="227" t="s">
        <v>63</v>
      </c>
      <c r="E237" s="229">
        <v>100.2</v>
      </c>
      <c r="F237" s="229"/>
      <c r="G237" s="229">
        <f t="shared" si="2"/>
        <v>0</v>
      </c>
      <c r="H237" s="136"/>
      <c r="I237" s="188"/>
      <c r="J237" s="138"/>
      <c r="K237" s="138"/>
    </row>
    <row r="238" spans="1:11" s="139" customFormat="1" ht="33.75" customHeight="1">
      <c r="A238" s="355">
        <v>108</v>
      </c>
      <c r="B238" s="256" t="s">
        <v>709</v>
      </c>
      <c r="C238" s="236" t="s">
        <v>710</v>
      </c>
      <c r="D238" s="227" t="s">
        <v>63</v>
      </c>
      <c r="E238" s="229">
        <v>58.5</v>
      </c>
      <c r="F238" s="229"/>
      <c r="G238" s="229">
        <f t="shared" si="2"/>
        <v>0</v>
      </c>
      <c r="H238" s="136"/>
      <c r="I238" s="137"/>
      <c r="J238" s="138"/>
      <c r="K238" s="138"/>
    </row>
    <row r="239" spans="1:11" s="139" customFormat="1" ht="11.25" customHeight="1">
      <c r="A239" s="227">
        <v>109</v>
      </c>
      <c r="B239" s="225" t="s">
        <v>697</v>
      </c>
      <c r="C239" s="224" t="s">
        <v>698</v>
      </c>
      <c r="D239" s="227" t="s">
        <v>63</v>
      </c>
      <c r="E239" s="229">
        <v>1760.9</v>
      </c>
      <c r="F239" s="229"/>
      <c r="G239" s="229">
        <f t="shared" si="2"/>
        <v>0</v>
      </c>
      <c r="H239" s="136"/>
      <c r="I239" s="188"/>
      <c r="J239" s="138"/>
      <c r="K239" s="138"/>
    </row>
    <row r="240" spans="1:11" s="139" customFormat="1" ht="11.25" customHeight="1">
      <c r="A240" s="227">
        <v>110</v>
      </c>
      <c r="B240" s="225" t="s">
        <v>699</v>
      </c>
      <c r="C240" s="224" t="s">
        <v>700</v>
      </c>
      <c r="D240" s="227" t="s">
        <v>63</v>
      </c>
      <c r="E240" s="229">
        <v>8804.5</v>
      </c>
      <c r="F240" s="229"/>
      <c r="G240" s="229">
        <f t="shared" si="2"/>
        <v>0</v>
      </c>
      <c r="H240" s="136"/>
      <c r="I240" s="188"/>
      <c r="J240" s="138"/>
      <c r="K240" s="138"/>
    </row>
    <row r="241" spans="1:11" s="139" customFormat="1" ht="11.25" customHeight="1">
      <c r="A241" s="227">
        <v>111</v>
      </c>
      <c r="B241" s="225" t="s">
        <v>701</v>
      </c>
      <c r="C241" s="224" t="s">
        <v>702</v>
      </c>
      <c r="D241" s="227" t="s">
        <v>63</v>
      </c>
      <c r="E241" s="229">
        <v>1760.9</v>
      </c>
      <c r="F241" s="229"/>
      <c r="G241" s="229">
        <f t="shared" si="2"/>
        <v>0</v>
      </c>
      <c r="H241" s="136"/>
      <c r="I241" s="137"/>
      <c r="J241" s="138"/>
      <c r="K241" s="138"/>
    </row>
    <row r="242" spans="1:11" s="139" customFormat="1" ht="11.25" customHeight="1">
      <c r="A242" s="227">
        <v>112</v>
      </c>
      <c r="B242" s="225" t="s">
        <v>138</v>
      </c>
      <c r="C242" s="224" t="s">
        <v>139</v>
      </c>
      <c r="D242" s="227" t="s">
        <v>63</v>
      </c>
      <c r="E242" s="229">
        <v>1760.9</v>
      </c>
      <c r="F242" s="229"/>
      <c r="G242" s="229">
        <f t="shared" si="2"/>
        <v>0</v>
      </c>
      <c r="H242" s="136"/>
      <c r="I242" s="137"/>
      <c r="J242" s="138"/>
      <c r="K242" s="138"/>
    </row>
    <row r="243" spans="1:11" s="139" customFormat="1" ht="11.25" customHeight="1">
      <c r="A243" s="227">
        <v>113</v>
      </c>
      <c r="B243" s="225" t="s">
        <v>140</v>
      </c>
      <c r="C243" s="224" t="s">
        <v>141</v>
      </c>
      <c r="D243" s="227" t="s">
        <v>63</v>
      </c>
      <c r="E243" s="229">
        <v>8804.5</v>
      </c>
      <c r="F243" s="229"/>
      <c r="G243" s="229">
        <f t="shared" si="2"/>
        <v>0</v>
      </c>
      <c r="H243" s="136"/>
      <c r="I243" s="137"/>
      <c r="J243" s="138"/>
      <c r="K243" s="138"/>
    </row>
    <row r="244" spans="1:11" s="139" customFormat="1" ht="11.25" customHeight="1">
      <c r="A244" s="227">
        <v>114</v>
      </c>
      <c r="B244" s="225" t="s">
        <v>142</v>
      </c>
      <c r="C244" s="224" t="s">
        <v>143</v>
      </c>
      <c r="D244" s="227" t="s">
        <v>63</v>
      </c>
      <c r="E244" s="229">
        <v>1760.9</v>
      </c>
      <c r="F244" s="229"/>
      <c r="G244" s="229">
        <f t="shared" si="2"/>
        <v>0</v>
      </c>
      <c r="H244" s="136"/>
      <c r="I244" s="137"/>
      <c r="J244" s="138"/>
      <c r="K244" s="138"/>
    </row>
    <row r="245" spans="1:11" s="147" customFormat="1" ht="12">
      <c r="A245" s="230"/>
      <c r="B245" s="231" t="s">
        <v>62</v>
      </c>
      <c r="C245" s="231" t="str">
        <f>CONCATENATE(B234," ",C234)</f>
        <v>0094 Lešení s stavební výtahy</v>
      </c>
      <c r="D245" s="232"/>
      <c r="E245" s="233"/>
      <c r="F245" s="233"/>
      <c r="G245" s="234">
        <f>SUM(G234:G244)</f>
        <v>0</v>
      </c>
      <c r="H245" s="144"/>
      <c r="I245" s="145"/>
      <c r="J245" s="146"/>
      <c r="K245" s="146"/>
    </row>
    <row r="246" spans="1:11" s="143" customFormat="1" ht="12">
      <c r="A246" s="220" t="s">
        <v>61</v>
      </c>
      <c r="B246" s="243" t="s">
        <v>74</v>
      </c>
      <c r="C246" s="244" t="s">
        <v>75</v>
      </c>
      <c r="D246" s="222"/>
      <c r="E246" s="223"/>
      <c r="F246" s="223"/>
      <c r="G246" s="223"/>
      <c r="H246" s="183"/>
      <c r="I246" s="184"/>
      <c r="J246" s="142"/>
      <c r="K246" s="142"/>
    </row>
    <row r="247" spans="1:11" s="139" customFormat="1" ht="11.25" customHeight="1">
      <c r="A247" s="227">
        <v>115</v>
      </c>
      <c r="B247" s="245" t="s">
        <v>460</v>
      </c>
      <c r="C247" s="226" t="s">
        <v>461</v>
      </c>
      <c r="D247" s="227" t="s">
        <v>63</v>
      </c>
      <c r="E247" s="228">
        <f>SUM(E248:E250)</f>
        <v>50</v>
      </c>
      <c r="F247" s="229"/>
      <c r="G247" s="229">
        <f>E247*F247</f>
        <v>0</v>
      </c>
      <c r="H247" s="136"/>
      <c r="I247" s="137"/>
      <c r="J247" s="138"/>
      <c r="K247" s="138"/>
    </row>
    <row r="248" spans="1:11" s="195" customFormat="1" ht="11.25" customHeight="1">
      <c r="A248" s="240"/>
      <c r="B248" s="246"/>
      <c r="C248" s="191" t="s">
        <v>462</v>
      </c>
      <c r="D248" s="240"/>
      <c r="E248" s="241"/>
      <c r="F248" s="242"/>
      <c r="G248" s="242"/>
      <c r="H248" s="192"/>
      <c r="I248" s="193"/>
      <c r="J248" s="194"/>
      <c r="K248" s="194"/>
    </row>
    <row r="249" spans="1:11" s="139" customFormat="1" ht="11.25" customHeight="1">
      <c r="A249" s="227"/>
      <c r="B249" s="245"/>
      <c r="C249" s="216" t="s">
        <v>463</v>
      </c>
      <c r="D249" s="227"/>
      <c r="E249" s="359">
        <f>40*0.5</f>
        <v>20</v>
      </c>
      <c r="F249" s="229"/>
      <c r="G249" s="229"/>
      <c r="H249" s="136"/>
      <c r="I249" s="137"/>
      <c r="J249" s="138"/>
      <c r="K249" s="138"/>
    </row>
    <row r="250" spans="1:11" s="139" customFormat="1" ht="11.25" customHeight="1">
      <c r="A250" s="227"/>
      <c r="B250" s="245"/>
      <c r="C250" s="216" t="s">
        <v>464</v>
      </c>
      <c r="D250" s="227"/>
      <c r="E250" s="359">
        <f>30*1</f>
        <v>30</v>
      </c>
      <c r="F250" s="229"/>
      <c r="G250" s="229"/>
      <c r="H250" s="136"/>
      <c r="I250" s="137"/>
      <c r="J250" s="138"/>
      <c r="K250" s="138"/>
    </row>
    <row r="251" spans="1:11" s="139" customFormat="1" ht="22.5" customHeight="1">
      <c r="A251" s="355">
        <v>116</v>
      </c>
      <c r="B251" s="258" t="s">
        <v>637</v>
      </c>
      <c r="C251" s="255" t="s">
        <v>687</v>
      </c>
      <c r="D251" s="227" t="s">
        <v>94</v>
      </c>
      <c r="E251" s="228">
        <f>1</f>
        <v>1</v>
      </c>
      <c r="F251" s="229"/>
      <c r="G251" s="229">
        <f>E251*F251</f>
        <v>0</v>
      </c>
      <c r="H251" s="136"/>
      <c r="I251" s="137"/>
      <c r="J251" s="138"/>
      <c r="K251" s="138"/>
    </row>
    <row r="252" spans="1:11" s="139" customFormat="1" ht="11.25" customHeight="1">
      <c r="A252" s="227">
        <v>117</v>
      </c>
      <c r="B252" s="245" t="s">
        <v>172</v>
      </c>
      <c r="C252" s="226" t="s">
        <v>173</v>
      </c>
      <c r="D252" s="227" t="s">
        <v>63</v>
      </c>
      <c r="E252" s="228">
        <f>SUM(E253)</f>
        <v>11.049999999999999</v>
      </c>
      <c r="F252" s="229"/>
      <c r="G252" s="229">
        <f>E252*F252</f>
        <v>0</v>
      </c>
      <c r="H252" s="136"/>
      <c r="I252" s="137"/>
      <c r="J252" s="138"/>
      <c r="K252" s="138"/>
    </row>
    <row r="253" spans="1:11" s="195" customFormat="1" ht="11.25" customHeight="1">
      <c r="A253" s="240"/>
      <c r="B253" s="246"/>
      <c r="C253" s="191" t="s">
        <v>562</v>
      </c>
      <c r="D253" s="240"/>
      <c r="E253" s="359">
        <f>3.4*3.25</f>
        <v>11.049999999999999</v>
      </c>
      <c r="F253" s="242"/>
      <c r="G253" s="242"/>
      <c r="H253" s="192"/>
      <c r="I253" s="193"/>
      <c r="J253" s="194"/>
      <c r="K253" s="194"/>
    </row>
    <row r="254" spans="1:11" s="139" customFormat="1" ht="11.25" customHeight="1">
      <c r="A254" s="227">
        <v>118</v>
      </c>
      <c r="B254" s="245" t="s">
        <v>558</v>
      </c>
      <c r="C254" s="226" t="s">
        <v>559</v>
      </c>
      <c r="D254" s="227" t="s">
        <v>63</v>
      </c>
      <c r="E254" s="228">
        <f>SUM(E255)</f>
        <v>83.84</v>
      </c>
      <c r="F254" s="229"/>
      <c r="G254" s="229">
        <f>E254*F254</f>
        <v>0</v>
      </c>
      <c r="H254" s="136"/>
      <c r="I254" s="137"/>
      <c r="J254" s="138"/>
      <c r="K254" s="138"/>
    </row>
    <row r="255" spans="1:11" s="195" customFormat="1" ht="22.5" customHeight="1">
      <c r="A255" s="240"/>
      <c r="B255" s="246"/>
      <c r="C255" s="253" t="s">
        <v>563</v>
      </c>
      <c r="D255" s="240"/>
      <c r="E255" s="359">
        <f>13.1*3.2*2</f>
        <v>83.84</v>
      </c>
      <c r="F255" s="242"/>
      <c r="G255" s="242"/>
      <c r="H255" s="192"/>
      <c r="I255" s="193"/>
      <c r="J255" s="194"/>
      <c r="K255" s="194"/>
    </row>
    <row r="256" spans="1:11" s="139" customFormat="1" ht="11.25" customHeight="1">
      <c r="A256" s="227">
        <v>119</v>
      </c>
      <c r="B256" s="245" t="s">
        <v>560</v>
      </c>
      <c r="C256" s="226" t="s">
        <v>561</v>
      </c>
      <c r="D256" s="227" t="s">
        <v>63</v>
      </c>
      <c r="E256" s="228">
        <f>SUM(E257)</f>
        <v>58.879999999999995</v>
      </c>
      <c r="F256" s="229"/>
      <c r="G256" s="229">
        <f>E256*F256</f>
        <v>0</v>
      </c>
      <c r="H256" s="136"/>
      <c r="I256" s="137"/>
      <c r="J256" s="138"/>
      <c r="K256" s="138"/>
    </row>
    <row r="257" spans="1:11" s="195" customFormat="1" ht="11.25" customHeight="1">
      <c r="A257" s="240"/>
      <c r="B257" s="246"/>
      <c r="C257" s="191" t="s">
        <v>564</v>
      </c>
      <c r="D257" s="240"/>
      <c r="E257" s="359">
        <f>12.8*4.6</f>
        <v>58.879999999999995</v>
      </c>
      <c r="F257" s="242"/>
      <c r="G257" s="242"/>
      <c r="H257" s="192"/>
      <c r="I257" s="193"/>
      <c r="J257" s="194"/>
      <c r="K257" s="194"/>
    </row>
    <row r="258" spans="1:11" s="190" customFormat="1" ht="11.25" customHeight="1">
      <c r="A258" s="247">
        <v>120</v>
      </c>
      <c r="B258" s="334" t="s">
        <v>638</v>
      </c>
      <c r="C258" s="296" t="s">
        <v>790</v>
      </c>
      <c r="D258" s="247" t="s">
        <v>83</v>
      </c>
      <c r="E258" s="248">
        <f>2</f>
        <v>2</v>
      </c>
      <c r="F258" s="249"/>
      <c r="G258" s="229">
        <f>E258*F258</f>
        <v>0</v>
      </c>
      <c r="H258" s="187"/>
      <c r="I258" s="188"/>
      <c r="J258" s="189"/>
      <c r="K258" s="189"/>
    </row>
    <row r="259" spans="1:11" s="139" customFormat="1" ht="112.5" customHeight="1">
      <c r="A259" s="355">
        <v>121</v>
      </c>
      <c r="B259" s="258" t="s">
        <v>185</v>
      </c>
      <c r="C259" s="255" t="s">
        <v>801</v>
      </c>
      <c r="D259" s="227" t="s">
        <v>63</v>
      </c>
      <c r="E259" s="228">
        <f>SUM(E260:E267)</f>
        <v>551.1224999999998</v>
      </c>
      <c r="F259" s="229"/>
      <c r="G259" s="229">
        <f>E259*F259</f>
        <v>0</v>
      </c>
      <c r="H259" s="136"/>
      <c r="I259" s="137"/>
      <c r="J259" s="138"/>
      <c r="K259" s="138"/>
    </row>
    <row r="260" spans="1:11" s="195" customFormat="1" ht="11.25" customHeight="1">
      <c r="A260" s="240"/>
      <c r="B260" s="246"/>
      <c r="C260" s="191" t="s">
        <v>186</v>
      </c>
      <c r="D260" s="240"/>
      <c r="E260" s="359">
        <f>(25.4+2.4)*13.2</f>
        <v>366.9599999999999</v>
      </c>
      <c r="F260" s="242"/>
      <c r="G260" s="242"/>
      <c r="H260" s="192"/>
      <c r="I260" s="193"/>
      <c r="J260" s="194"/>
      <c r="K260" s="194"/>
    </row>
    <row r="261" spans="1:11" s="195" customFormat="1" ht="33.75" customHeight="1">
      <c r="A261" s="240"/>
      <c r="B261" s="246"/>
      <c r="C261" s="259" t="s">
        <v>187</v>
      </c>
      <c r="D261" s="240"/>
      <c r="E261" s="359">
        <f>-((2.4*1.85*4)+(5.4*1.5*3)+(6.6*1.5)+(5.4*1.85*9)+(6.6*1.85*3))</f>
        <v>-178.50000000000003</v>
      </c>
      <c r="F261" s="242"/>
      <c r="G261" s="242"/>
      <c r="H261" s="192"/>
      <c r="I261" s="193"/>
      <c r="J261" s="194"/>
      <c r="K261" s="194"/>
    </row>
    <row r="262" spans="1:11" s="195" customFormat="1" ht="11.25" customHeight="1">
      <c r="A262" s="240"/>
      <c r="B262" s="246"/>
      <c r="C262" s="216" t="s">
        <v>213</v>
      </c>
      <c r="D262" s="240"/>
      <c r="E262" s="359">
        <f>(25.4+2.4)*13.2</f>
        <v>366.9599999999999</v>
      </c>
      <c r="F262" s="242"/>
      <c r="G262" s="242"/>
      <c r="H262" s="192"/>
      <c r="I262" s="193"/>
      <c r="J262" s="194"/>
      <c r="K262" s="194"/>
    </row>
    <row r="263" spans="1:11" s="195" customFormat="1" ht="33.75" customHeight="1">
      <c r="A263" s="240"/>
      <c r="B263" s="246"/>
      <c r="C263" s="259" t="s">
        <v>214</v>
      </c>
      <c r="D263" s="240"/>
      <c r="E263" s="359">
        <f>-((2.4*1.85*3)+(5.4*1.5)+(6.6*1.5)+(2.4*2.1)+(2.1*1.5*2)+(3.3*1.5)+(2.5*2.3)+(1.2*2.4)+(5.4*1.85*9)+(6.6*1.85*3))</f>
        <v>-182.78000000000003</v>
      </c>
      <c r="F263" s="242"/>
      <c r="G263" s="242"/>
      <c r="H263" s="192"/>
      <c r="I263" s="193"/>
      <c r="J263" s="194"/>
      <c r="K263" s="194"/>
    </row>
    <row r="264" spans="1:11" s="195" customFormat="1" ht="11.25" customHeight="1">
      <c r="A264" s="240"/>
      <c r="B264" s="246"/>
      <c r="C264" s="216" t="s">
        <v>217</v>
      </c>
      <c r="D264" s="240"/>
      <c r="E264" s="359">
        <f>22.9*2.3</f>
        <v>52.669999999999995</v>
      </c>
      <c r="F264" s="242"/>
      <c r="G264" s="242"/>
      <c r="H264" s="192"/>
      <c r="I264" s="193"/>
      <c r="J264" s="194"/>
      <c r="K264" s="194"/>
    </row>
    <row r="265" spans="1:11" s="195" customFormat="1" ht="11.25" customHeight="1">
      <c r="A265" s="240"/>
      <c r="B265" s="246"/>
      <c r="C265" s="216" t="s">
        <v>218</v>
      </c>
      <c r="D265" s="240"/>
      <c r="E265" s="359">
        <f>-((3.4*2.3)+(5.4*1.5*2)+(6.6*1.5))</f>
        <v>-33.92</v>
      </c>
      <c r="F265" s="242"/>
      <c r="G265" s="242"/>
      <c r="H265" s="192"/>
      <c r="I265" s="193"/>
      <c r="J265" s="194"/>
      <c r="K265" s="194"/>
    </row>
    <row r="266" spans="1:11" s="195" customFormat="1" ht="11.25" customHeight="1">
      <c r="A266" s="240"/>
      <c r="B266" s="246"/>
      <c r="C266" s="216" t="s">
        <v>219</v>
      </c>
      <c r="D266" s="240"/>
      <c r="E266" s="359">
        <f>25.4*10.8+2.4*11.65</f>
        <v>302.28</v>
      </c>
      <c r="F266" s="242"/>
      <c r="G266" s="242"/>
      <c r="H266" s="192"/>
      <c r="I266" s="193"/>
      <c r="J266" s="194"/>
      <c r="K266" s="194"/>
    </row>
    <row r="267" spans="1:11" s="195" customFormat="1" ht="33.75" customHeight="1">
      <c r="A267" s="240"/>
      <c r="B267" s="246"/>
      <c r="C267" s="259" t="s">
        <v>220</v>
      </c>
      <c r="D267" s="240"/>
      <c r="E267" s="359">
        <f>-((2.4*2.7)+(3.35*1.85)+(5.4*1.85*8)+(6.6*1.85*3)+(2.4*1.85*3))</f>
        <v>-142.5475</v>
      </c>
      <c r="F267" s="242"/>
      <c r="G267" s="242"/>
      <c r="H267" s="192"/>
      <c r="I267" s="193"/>
      <c r="J267" s="194"/>
      <c r="K267" s="194"/>
    </row>
    <row r="268" spans="1:11" s="139" customFormat="1" ht="33.75" customHeight="1">
      <c r="A268" s="355">
        <v>122</v>
      </c>
      <c r="B268" s="258" t="s">
        <v>192</v>
      </c>
      <c r="C268" s="260" t="s">
        <v>404</v>
      </c>
      <c r="D268" s="227" t="s">
        <v>63</v>
      </c>
      <c r="E268" s="228">
        <f>SUM(E269:E276)</f>
        <v>528.93225</v>
      </c>
      <c r="F268" s="229"/>
      <c r="G268" s="229">
        <f>E268*F268</f>
        <v>0</v>
      </c>
      <c r="H268" s="136"/>
      <c r="I268" s="137"/>
      <c r="J268" s="138"/>
      <c r="K268" s="138"/>
    </row>
    <row r="269" spans="1:11" s="195" customFormat="1" ht="11.25" customHeight="1">
      <c r="A269" s="240"/>
      <c r="B269" s="246"/>
      <c r="C269" s="216" t="s">
        <v>193</v>
      </c>
      <c r="D269" s="240"/>
      <c r="E269" s="359">
        <f>(0.65+1.25+5)*13.2</f>
        <v>91.08</v>
      </c>
      <c r="F269" s="242"/>
      <c r="G269" s="242"/>
      <c r="H269" s="192"/>
      <c r="I269" s="193"/>
      <c r="J269" s="194"/>
      <c r="K269" s="194"/>
    </row>
    <row r="270" spans="1:11" s="195" customFormat="1" ht="11.25" customHeight="1">
      <c r="A270" s="240"/>
      <c r="B270" s="246"/>
      <c r="C270" s="216" t="s">
        <v>194</v>
      </c>
      <c r="D270" s="240"/>
      <c r="E270" s="359">
        <f>8.15*12.525+0.55*11.85</f>
        <v>108.59625000000001</v>
      </c>
      <c r="F270" s="242"/>
      <c r="G270" s="242"/>
      <c r="H270" s="192"/>
      <c r="I270" s="193"/>
      <c r="J270" s="194"/>
      <c r="K270" s="194"/>
    </row>
    <row r="271" spans="1:11" s="139" customFormat="1" ht="11.25" customHeight="1">
      <c r="A271" s="227"/>
      <c r="B271" s="245"/>
      <c r="C271" s="216" t="s">
        <v>215</v>
      </c>
      <c r="D271" s="227"/>
      <c r="E271" s="359">
        <f>(0.65+1.25)*13.2</f>
        <v>25.08</v>
      </c>
      <c r="F271" s="229"/>
      <c r="G271" s="229"/>
      <c r="H271" s="136"/>
      <c r="I271" s="137"/>
      <c r="J271" s="138"/>
      <c r="K271" s="138"/>
    </row>
    <row r="272" spans="1:11" s="195" customFormat="1" ht="11.25" customHeight="1">
      <c r="A272" s="240"/>
      <c r="B272" s="246"/>
      <c r="C272" s="216" t="s">
        <v>216</v>
      </c>
      <c r="D272" s="240"/>
      <c r="E272" s="359">
        <f>3.2*2.2+3.85*11.25+7.55*11.25</f>
        <v>135.29</v>
      </c>
      <c r="F272" s="242"/>
      <c r="G272" s="242"/>
      <c r="H272" s="192"/>
      <c r="I272" s="193"/>
      <c r="J272" s="194"/>
      <c r="K272" s="194"/>
    </row>
    <row r="273" spans="1:11" s="195" customFormat="1" ht="11.25" customHeight="1">
      <c r="A273" s="240"/>
      <c r="B273" s="246"/>
      <c r="C273" s="216" t="s">
        <v>221</v>
      </c>
      <c r="D273" s="240"/>
      <c r="E273" s="359">
        <f>(2.1*3.6)+((0.65+1.1)*8.05)</f>
        <v>21.6475</v>
      </c>
      <c r="F273" s="242"/>
      <c r="G273" s="242"/>
      <c r="H273" s="192"/>
      <c r="I273" s="193"/>
      <c r="J273" s="194"/>
      <c r="K273" s="194"/>
    </row>
    <row r="274" spans="1:11" s="195" customFormat="1" ht="11.25" customHeight="1">
      <c r="A274" s="240"/>
      <c r="B274" s="246"/>
      <c r="C274" s="216" t="s">
        <v>222</v>
      </c>
      <c r="D274" s="240"/>
      <c r="E274" s="359">
        <f>(5+7+0.55)*11.65</f>
        <v>146.2075</v>
      </c>
      <c r="F274" s="242"/>
      <c r="G274" s="242"/>
      <c r="H274" s="192"/>
      <c r="I274" s="193"/>
      <c r="J274" s="194"/>
      <c r="K274" s="194"/>
    </row>
    <row r="275" spans="1:11" s="195" customFormat="1" ht="11.25" customHeight="1">
      <c r="A275" s="240"/>
      <c r="B275" s="246"/>
      <c r="C275" s="216" t="s">
        <v>223</v>
      </c>
      <c r="D275" s="240"/>
      <c r="E275" s="359">
        <f>-0.8*1.97</f>
        <v>-1.576</v>
      </c>
      <c r="F275" s="242"/>
      <c r="G275" s="242"/>
      <c r="H275" s="192"/>
      <c r="I275" s="193"/>
      <c r="J275" s="194"/>
      <c r="K275" s="194"/>
    </row>
    <row r="276" spans="1:11" s="195" customFormat="1" ht="11.25" customHeight="1">
      <c r="A276" s="240"/>
      <c r="B276" s="246"/>
      <c r="C276" s="216" t="s">
        <v>224</v>
      </c>
      <c r="D276" s="240"/>
      <c r="E276" s="359">
        <f>4.74*0.55</f>
        <v>2.607</v>
      </c>
      <c r="F276" s="242"/>
      <c r="G276" s="229"/>
      <c r="H276" s="192"/>
      <c r="I276" s="193"/>
      <c r="J276" s="194"/>
      <c r="K276" s="194"/>
    </row>
    <row r="277" spans="1:11" s="190" customFormat="1" ht="11.25" customHeight="1">
      <c r="A277" s="247">
        <v>123</v>
      </c>
      <c r="B277" s="334" t="s">
        <v>486</v>
      </c>
      <c r="C277" s="333" t="s">
        <v>487</v>
      </c>
      <c r="D277" s="247" t="s">
        <v>457</v>
      </c>
      <c r="E277" s="248">
        <f>SUM(E278:E279)</f>
        <v>8.399999999999999</v>
      </c>
      <c r="F277" s="249"/>
      <c r="G277" s="229">
        <f>E277*F277</f>
        <v>0</v>
      </c>
      <c r="H277" s="187"/>
      <c r="I277" s="137"/>
      <c r="J277" s="189"/>
      <c r="K277" s="189"/>
    </row>
    <row r="278" spans="1:11" s="195" customFormat="1" ht="11.25" customHeight="1">
      <c r="A278" s="240"/>
      <c r="B278" s="246"/>
      <c r="C278" s="216" t="s">
        <v>488</v>
      </c>
      <c r="D278" s="240"/>
      <c r="E278" s="359">
        <f>40*0.2*0.6</f>
        <v>4.8</v>
      </c>
      <c r="F278" s="242"/>
      <c r="G278" s="242"/>
      <c r="H278" s="192"/>
      <c r="I278" s="193"/>
      <c r="J278" s="194"/>
      <c r="K278" s="194"/>
    </row>
    <row r="279" spans="1:11" s="195" customFormat="1" ht="11.25" customHeight="1">
      <c r="A279" s="240"/>
      <c r="B279" s="246"/>
      <c r="C279" s="216" t="s">
        <v>489</v>
      </c>
      <c r="D279" s="240"/>
      <c r="E279" s="359">
        <f>30*0.2*0.6</f>
        <v>3.5999999999999996</v>
      </c>
      <c r="F279" s="242"/>
      <c r="G279" s="242"/>
      <c r="H279" s="192"/>
      <c r="I279" s="193"/>
      <c r="J279" s="194"/>
      <c r="K279" s="194"/>
    </row>
    <row r="280" spans="1:11" s="190" customFormat="1" ht="22.5" customHeight="1">
      <c r="A280" s="297">
        <v>124</v>
      </c>
      <c r="B280" s="300" t="s">
        <v>685</v>
      </c>
      <c r="C280" s="340" t="s">
        <v>686</v>
      </c>
      <c r="D280" s="247" t="s">
        <v>83</v>
      </c>
      <c r="E280" s="248">
        <f>1</f>
        <v>1</v>
      </c>
      <c r="F280" s="249"/>
      <c r="G280" s="229">
        <f>E280*F280</f>
        <v>0</v>
      </c>
      <c r="H280" s="187"/>
      <c r="I280" s="188"/>
      <c r="J280" s="189"/>
      <c r="K280" s="189"/>
    </row>
    <row r="281" spans="1:11" s="190" customFormat="1" ht="22.5" customHeight="1">
      <c r="A281" s="297">
        <v>125</v>
      </c>
      <c r="B281" s="300" t="s">
        <v>455</v>
      </c>
      <c r="C281" s="340" t="s">
        <v>456</v>
      </c>
      <c r="D281" s="247" t="s">
        <v>457</v>
      </c>
      <c r="E281" s="248">
        <f>SUM(E282:E283)</f>
        <v>5</v>
      </c>
      <c r="F281" s="249"/>
      <c r="G281" s="229">
        <f>E281*F281</f>
        <v>0</v>
      </c>
      <c r="H281" s="187"/>
      <c r="I281" s="137"/>
      <c r="J281" s="189"/>
      <c r="K281" s="189"/>
    </row>
    <row r="282" spans="1:11" s="195" customFormat="1" ht="11.25" customHeight="1">
      <c r="A282" s="240"/>
      <c r="B282" s="246"/>
      <c r="C282" s="216" t="s">
        <v>458</v>
      </c>
      <c r="D282" s="240"/>
      <c r="E282" s="359">
        <f>40*0.5*0.1</f>
        <v>2</v>
      </c>
      <c r="F282" s="242"/>
      <c r="G282" s="242"/>
      <c r="H282" s="192"/>
      <c r="I282" s="193"/>
      <c r="J282" s="194"/>
      <c r="K282" s="194"/>
    </row>
    <row r="283" spans="1:11" s="195" customFormat="1" ht="11.25" customHeight="1">
      <c r="A283" s="240"/>
      <c r="B283" s="246"/>
      <c r="C283" s="216" t="s">
        <v>459</v>
      </c>
      <c r="D283" s="240"/>
      <c r="E283" s="359">
        <f>30*1*0.1</f>
        <v>3</v>
      </c>
      <c r="F283" s="242"/>
      <c r="G283" s="242"/>
      <c r="H283" s="192"/>
      <c r="I283" s="193"/>
      <c r="J283" s="194"/>
      <c r="K283" s="194"/>
    </row>
    <row r="284" spans="1:11" s="139" customFormat="1" ht="11.25" customHeight="1">
      <c r="A284" s="227">
        <v>126</v>
      </c>
      <c r="B284" s="245" t="s">
        <v>106</v>
      </c>
      <c r="C284" s="226" t="s">
        <v>107</v>
      </c>
      <c r="D284" s="227" t="s">
        <v>83</v>
      </c>
      <c r="E284" s="228">
        <f>SUM(E285:E288)</f>
        <v>455</v>
      </c>
      <c r="F284" s="229"/>
      <c r="G284" s="229">
        <f>E284*F284</f>
        <v>0</v>
      </c>
      <c r="H284" s="136"/>
      <c r="I284" s="137"/>
      <c r="J284" s="138"/>
      <c r="K284" s="138"/>
    </row>
    <row r="285" spans="1:11" s="195" customFormat="1" ht="11.25" customHeight="1">
      <c r="A285" s="240"/>
      <c r="B285" s="246"/>
      <c r="C285" s="216" t="s">
        <v>190</v>
      </c>
      <c r="D285" s="240"/>
      <c r="E285" s="359">
        <f>146</f>
        <v>146</v>
      </c>
      <c r="F285" s="242"/>
      <c r="G285" s="242"/>
      <c r="H285" s="192"/>
      <c r="I285" s="193"/>
      <c r="J285" s="194"/>
      <c r="K285" s="194"/>
    </row>
    <row r="286" spans="1:11" s="195" customFormat="1" ht="11.25" customHeight="1">
      <c r="A286" s="240"/>
      <c r="B286" s="246"/>
      <c r="C286" s="216" t="s">
        <v>209</v>
      </c>
      <c r="D286" s="240"/>
      <c r="E286" s="359">
        <f>145</f>
        <v>145</v>
      </c>
      <c r="F286" s="242"/>
      <c r="G286" s="242"/>
      <c r="H286" s="192"/>
      <c r="I286" s="193"/>
      <c r="J286" s="194"/>
      <c r="K286" s="194"/>
    </row>
    <row r="287" spans="1:11" s="195" customFormat="1" ht="11.25" customHeight="1">
      <c r="A287" s="240"/>
      <c r="B287" s="246"/>
      <c r="C287" s="216" t="s">
        <v>226</v>
      </c>
      <c r="D287" s="240"/>
      <c r="E287" s="359">
        <f>134</f>
        <v>134</v>
      </c>
      <c r="F287" s="242"/>
      <c r="G287" s="242"/>
      <c r="H287" s="192"/>
      <c r="I287" s="193"/>
      <c r="J287" s="194"/>
      <c r="K287" s="194"/>
    </row>
    <row r="288" spans="1:11" s="195" customFormat="1" ht="11.25" customHeight="1">
      <c r="A288" s="240"/>
      <c r="B288" s="246"/>
      <c r="C288" s="216" t="s">
        <v>556</v>
      </c>
      <c r="D288" s="240"/>
      <c r="E288" s="359">
        <f>30</f>
        <v>30</v>
      </c>
      <c r="F288" s="242"/>
      <c r="G288" s="242"/>
      <c r="H288" s="192"/>
      <c r="I288" s="193"/>
      <c r="J288" s="194"/>
      <c r="K288" s="194"/>
    </row>
    <row r="289" spans="1:11" s="139" customFormat="1" ht="11.25" customHeight="1">
      <c r="A289" s="227">
        <v>127</v>
      </c>
      <c r="B289" s="245" t="s">
        <v>188</v>
      </c>
      <c r="C289" s="226" t="s">
        <v>189</v>
      </c>
      <c r="D289" s="227" t="s">
        <v>83</v>
      </c>
      <c r="E289" s="228">
        <f>SUM(E290:E293)</f>
        <v>42</v>
      </c>
      <c r="F289" s="229"/>
      <c r="G289" s="229">
        <f>E289*F289</f>
        <v>0</v>
      </c>
      <c r="H289" s="136"/>
      <c r="I289" s="137"/>
      <c r="J289" s="138"/>
      <c r="K289" s="138"/>
    </row>
    <row r="290" spans="1:11" s="195" customFormat="1" ht="11.25" customHeight="1">
      <c r="A290" s="240"/>
      <c r="B290" s="246"/>
      <c r="C290" s="216" t="s">
        <v>197</v>
      </c>
      <c r="D290" s="240"/>
      <c r="E290" s="359">
        <f>15</f>
        <v>15</v>
      </c>
      <c r="F290" s="242"/>
      <c r="G290" s="242"/>
      <c r="H290" s="192"/>
      <c r="I290" s="193"/>
      <c r="J290" s="194"/>
      <c r="K290" s="194"/>
    </row>
    <row r="291" spans="1:11" s="195" customFormat="1" ht="11.25" customHeight="1">
      <c r="A291" s="240"/>
      <c r="B291" s="246"/>
      <c r="C291" s="216" t="s">
        <v>208</v>
      </c>
      <c r="D291" s="240"/>
      <c r="E291" s="359">
        <f>11</f>
        <v>11</v>
      </c>
      <c r="F291" s="242"/>
      <c r="G291" s="242"/>
      <c r="H291" s="192"/>
      <c r="I291" s="193"/>
      <c r="J291" s="194"/>
      <c r="K291" s="194"/>
    </row>
    <row r="292" spans="1:11" s="195" customFormat="1" ht="11.25" customHeight="1">
      <c r="A292" s="240"/>
      <c r="B292" s="246"/>
      <c r="C292" s="216" t="s">
        <v>225</v>
      </c>
      <c r="D292" s="240"/>
      <c r="E292" s="359">
        <f>10</f>
        <v>10</v>
      </c>
      <c r="F292" s="242"/>
      <c r="G292" s="242"/>
      <c r="H292" s="192"/>
      <c r="I292" s="193"/>
      <c r="J292" s="194"/>
      <c r="K292" s="194"/>
    </row>
    <row r="293" spans="1:11" s="195" customFormat="1" ht="11.25" customHeight="1">
      <c r="A293" s="240"/>
      <c r="B293" s="246"/>
      <c r="C293" s="216" t="s">
        <v>550</v>
      </c>
      <c r="D293" s="240"/>
      <c r="E293" s="359">
        <f>6</f>
        <v>6</v>
      </c>
      <c r="F293" s="242"/>
      <c r="G293" s="242"/>
      <c r="H293" s="192"/>
      <c r="I293" s="193"/>
      <c r="J293" s="194"/>
      <c r="K293" s="194"/>
    </row>
    <row r="294" spans="1:11" s="190" customFormat="1" ht="11.25" customHeight="1">
      <c r="A294" s="247">
        <v>128</v>
      </c>
      <c r="B294" s="334" t="s">
        <v>551</v>
      </c>
      <c r="C294" s="226" t="s">
        <v>552</v>
      </c>
      <c r="D294" s="247" t="s">
        <v>63</v>
      </c>
      <c r="E294" s="248">
        <f>SUM(E295)</f>
        <v>1.08</v>
      </c>
      <c r="F294" s="249"/>
      <c r="G294" s="229">
        <f>E294*F294</f>
        <v>0</v>
      </c>
      <c r="H294" s="187"/>
      <c r="I294" s="137"/>
      <c r="J294" s="189"/>
      <c r="K294" s="189"/>
    </row>
    <row r="295" spans="1:11" s="195" customFormat="1" ht="11.25" customHeight="1">
      <c r="A295" s="240"/>
      <c r="B295" s="246"/>
      <c r="C295" s="216" t="s">
        <v>553</v>
      </c>
      <c r="D295" s="240"/>
      <c r="E295" s="359">
        <f>0.6*0.6*3</f>
        <v>1.08</v>
      </c>
      <c r="F295" s="242"/>
      <c r="G295" s="242"/>
      <c r="H295" s="192"/>
      <c r="I295" s="193"/>
      <c r="J295" s="194"/>
      <c r="K295" s="194"/>
    </row>
    <row r="296" spans="1:11" s="139" customFormat="1" ht="11.25" customHeight="1">
      <c r="A296" s="227">
        <v>129</v>
      </c>
      <c r="B296" s="245" t="s">
        <v>104</v>
      </c>
      <c r="C296" s="226" t="s">
        <v>105</v>
      </c>
      <c r="D296" s="227" t="s">
        <v>63</v>
      </c>
      <c r="E296" s="228">
        <f>SUM(E297:E299)</f>
        <v>207.76500000000001</v>
      </c>
      <c r="F296" s="229"/>
      <c r="G296" s="229">
        <f>E296*F296</f>
        <v>0</v>
      </c>
      <c r="H296" s="136"/>
      <c r="I296" s="137"/>
      <c r="J296" s="138"/>
      <c r="K296" s="138"/>
    </row>
    <row r="297" spans="1:11" s="195" customFormat="1" ht="22.5" customHeight="1">
      <c r="A297" s="240"/>
      <c r="B297" s="246"/>
      <c r="C297" s="259" t="s">
        <v>191</v>
      </c>
      <c r="D297" s="240"/>
      <c r="E297" s="359">
        <f>0.9*1.5*8+1.2*1.5*13+0.9*1.85*24</f>
        <v>74.16</v>
      </c>
      <c r="F297" s="242"/>
      <c r="G297" s="242"/>
      <c r="H297" s="192"/>
      <c r="I297" s="193"/>
      <c r="J297" s="194"/>
      <c r="K297" s="194"/>
    </row>
    <row r="298" spans="1:11" s="195" customFormat="1" ht="22.5" customHeight="1">
      <c r="A298" s="240"/>
      <c r="B298" s="246"/>
      <c r="C298" s="259" t="s">
        <v>210</v>
      </c>
      <c r="D298" s="240"/>
      <c r="E298" s="359">
        <f>0.9*1.5*7+1.2*1.5*11+0.9*1.85*24</f>
        <v>69.21000000000001</v>
      </c>
      <c r="F298" s="242"/>
      <c r="G298" s="242"/>
      <c r="H298" s="192"/>
      <c r="I298" s="193"/>
      <c r="J298" s="194"/>
      <c r="K298" s="194"/>
    </row>
    <row r="299" spans="1:11" s="195" customFormat="1" ht="22.5" customHeight="1">
      <c r="A299" s="240"/>
      <c r="B299" s="246"/>
      <c r="C299" s="259" t="s">
        <v>227</v>
      </c>
      <c r="D299" s="240"/>
      <c r="E299" s="359">
        <f>0.9*1.5*6+1.2*1.5*10+0.9*1.85*23</f>
        <v>64.39500000000001</v>
      </c>
      <c r="F299" s="242"/>
      <c r="G299" s="242"/>
      <c r="H299" s="192"/>
      <c r="I299" s="193"/>
      <c r="J299" s="194"/>
      <c r="K299" s="194"/>
    </row>
    <row r="300" spans="1:11" s="139" customFormat="1" ht="11.25" customHeight="1">
      <c r="A300" s="227">
        <v>130</v>
      </c>
      <c r="B300" s="245" t="s">
        <v>117</v>
      </c>
      <c r="C300" s="226" t="s">
        <v>118</v>
      </c>
      <c r="D300" s="227" t="s">
        <v>63</v>
      </c>
      <c r="E300" s="228">
        <f>SUM(E301:E304)</f>
        <v>343.86</v>
      </c>
      <c r="F300" s="229"/>
      <c r="G300" s="229">
        <f>E300*F300</f>
        <v>0</v>
      </c>
      <c r="H300" s="136"/>
      <c r="I300" s="137"/>
      <c r="J300" s="138"/>
      <c r="K300" s="138"/>
    </row>
    <row r="301" spans="1:11" s="195" customFormat="1" ht="11.25" customHeight="1">
      <c r="A301" s="240"/>
      <c r="B301" s="246"/>
      <c r="C301" s="216" t="s">
        <v>211</v>
      </c>
      <c r="D301" s="240"/>
      <c r="E301" s="359">
        <f>1.2*1.85*47</f>
        <v>104.34</v>
      </c>
      <c r="F301" s="242"/>
      <c r="G301" s="242"/>
      <c r="H301" s="192"/>
      <c r="I301" s="193"/>
      <c r="J301" s="194"/>
      <c r="K301" s="194"/>
    </row>
    <row r="302" spans="1:11" s="139" customFormat="1" ht="11.25" customHeight="1">
      <c r="A302" s="227"/>
      <c r="B302" s="245"/>
      <c r="C302" s="216" t="s">
        <v>212</v>
      </c>
      <c r="D302" s="227"/>
      <c r="E302" s="359">
        <f>1.2*1.85*45</f>
        <v>99.9</v>
      </c>
      <c r="F302" s="229"/>
      <c r="G302" s="229"/>
      <c r="H302" s="136"/>
      <c r="I302" s="137"/>
      <c r="J302" s="138"/>
      <c r="K302" s="138"/>
    </row>
    <row r="303" spans="1:11" s="139" customFormat="1" ht="11.25" customHeight="1">
      <c r="A303" s="227"/>
      <c r="B303" s="245"/>
      <c r="C303" s="216" t="s">
        <v>228</v>
      </c>
      <c r="D303" s="227"/>
      <c r="E303" s="359">
        <f>1.2*1.85*44</f>
        <v>97.68</v>
      </c>
      <c r="F303" s="229"/>
      <c r="G303" s="229"/>
      <c r="H303" s="136"/>
      <c r="I303" s="137"/>
      <c r="J303" s="138"/>
      <c r="K303" s="138"/>
    </row>
    <row r="304" spans="1:11" s="139" customFormat="1" ht="11.25" customHeight="1">
      <c r="A304" s="227"/>
      <c r="B304" s="245"/>
      <c r="C304" s="216" t="s">
        <v>557</v>
      </c>
      <c r="D304" s="227"/>
      <c r="E304" s="359">
        <f>4.56*1.5+2.7*1.5*2+1.5*1.5*12</f>
        <v>41.94</v>
      </c>
      <c r="F304" s="229"/>
      <c r="G304" s="229"/>
      <c r="H304" s="136"/>
      <c r="I304" s="137"/>
      <c r="J304" s="138"/>
      <c r="K304" s="138"/>
    </row>
    <row r="305" spans="1:11" s="139" customFormat="1" ht="11.25" customHeight="1">
      <c r="A305" s="227">
        <v>131</v>
      </c>
      <c r="B305" s="245" t="s">
        <v>195</v>
      </c>
      <c r="C305" s="237" t="s">
        <v>196</v>
      </c>
      <c r="D305" s="227" t="s">
        <v>83</v>
      </c>
      <c r="E305" s="228">
        <f>SUM(E306)</f>
        <v>1</v>
      </c>
      <c r="F305" s="229"/>
      <c r="G305" s="229">
        <f>E305*F305</f>
        <v>0</v>
      </c>
      <c r="H305" s="136"/>
      <c r="I305" s="137"/>
      <c r="J305" s="138"/>
      <c r="K305" s="138"/>
    </row>
    <row r="306" spans="1:11" s="195" customFormat="1" ht="11.25" customHeight="1">
      <c r="A306" s="240"/>
      <c r="B306" s="246"/>
      <c r="C306" s="216" t="s">
        <v>198</v>
      </c>
      <c r="D306" s="240"/>
      <c r="E306" s="359">
        <f>1</f>
        <v>1</v>
      </c>
      <c r="F306" s="242"/>
      <c r="G306" s="242"/>
      <c r="H306" s="192"/>
      <c r="I306" s="193"/>
      <c r="J306" s="194"/>
      <c r="K306" s="194"/>
    </row>
    <row r="307" spans="1:11" s="139" customFormat="1" ht="11.25" customHeight="1">
      <c r="A307" s="227">
        <v>132</v>
      </c>
      <c r="B307" s="245" t="s">
        <v>229</v>
      </c>
      <c r="C307" s="237" t="s">
        <v>230</v>
      </c>
      <c r="D307" s="227" t="s">
        <v>83</v>
      </c>
      <c r="E307" s="228">
        <f>SUM(E308:E309)</f>
        <v>4</v>
      </c>
      <c r="F307" s="229"/>
      <c r="G307" s="229">
        <f>E307*F307</f>
        <v>0</v>
      </c>
      <c r="H307" s="136"/>
      <c r="I307" s="137"/>
      <c r="J307" s="138"/>
      <c r="K307" s="138"/>
    </row>
    <row r="308" spans="1:11" s="195" customFormat="1" ht="11.25" customHeight="1">
      <c r="A308" s="240"/>
      <c r="B308" s="246"/>
      <c r="C308" s="216" t="s">
        <v>231</v>
      </c>
      <c r="D308" s="240"/>
      <c r="E308" s="359">
        <f>3</f>
        <v>3</v>
      </c>
      <c r="F308" s="242"/>
      <c r="G308" s="242"/>
      <c r="H308" s="192"/>
      <c r="I308" s="193"/>
      <c r="J308" s="194"/>
      <c r="K308" s="194"/>
    </row>
    <row r="309" spans="1:11" s="195" customFormat="1" ht="11.25" customHeight="1">
      <c r="A309" s="240"/>
      <c r="B309" s="246"/>
      <c r="C309" s="216" t="s">
        <v>554</v>
      </c>
      <c r="D309" s="240"/>
      <c r="E309" s="359">
        <f>1</f>
        <v>1</v>
      </c>
      <c r="F309" s="242"/>
      <c r="G309" s="242"/>
      <c r="H309" s="192"/>
      <c r="I309" s="193"/>
      <c r="J309" s="194"/>
      <c r="K309" s="194"/>
    </row>
    <row r="310" spans="1:11" s="139" customFormat="1" ht="11.25" customHeight="1">
      <c r="A310" s="227">
        <v>133</v>
      </c>
      <c r="B310" s="245" t="s">
        <v>202</v>
      </c>
      <c r="C310" s="237" t="s">
        <v>203</v>
      </c>
      <c r="D310" s="227" t="s">
        <v>83</v>
      </c>
      <c r="E310" s="228">
        <f>SUM(E311)</f>
        <v>2</v>
      </c>
      <c r="F310" s="229"/>
      <c r="G310" s="229">
        <f>E310*F310</f>
        <v>0</v>
      </c>
      <c r="H310" s="136"/>
      <c r="I310" s="137"/>
      <c r="J310" s="138"/>
      <c r="K310" s="138"/>
    </row>
    <row r="311" spans="1:11" s="139" customFormat="1" ht="11.25" customHeight="1">
      <c r="A311" s="227"/>
      <c r="B311" s="245"/>
      <c r="C311" s="216" t="s">
        <v>204</v>
      </c>
      <c r="D311" s="227"/>
      <c r="E311" s="359">
        <f>2</f>
        <v>2</v>
      </c>
      <c r="F311" s="229"/>
      <c r="G311" s="229"/>
      <c r="H311" s="136"/>
      <c r="I311" s="137"/>
      <c r="J311" s="138"/>
      <c r="K311" s="138"/>
    </row>
    <row r="312" spans="1:11" s="139" customFormat="1" ht="11.25" customHeight="1">
      <c r="A312" s="227">
        <v>134</v>
      </c>
      <c r="B312" s="245" t="s">
        <v>199</v>
      </c>
      <c r="C312" s="237" t="s">
        <v>200</v>
      </c>
      <c r="D312" s="227" t="s">
        <v>63</v>
      </c>
      <c r="E312" s="228">
        <f>SUM(E313)</f>
        <v>2.25</v>
      </c>
      <c r="F312" s="229"/>
      <c r="G312" s="229">
        <f>E312*F312</f>
        <v>0</v>
      </c>
      <c r="H312" s="136"/>
      <c r="I312" s="137"/>
      <c r="J312" s="138"/>
      <c r="K312" s="138"/>
    </row>
    <row r="313" spans="1:11" s="139" customFormat="1" ht="11.25" customHeight="1">
      <c r="A313" s="227"/>
      <c r="B313" s="245"/>
      <c r="C313" s="216" t="s">
        <v>201</v>
      </c>
      <c r="D313" s="227"/>
      <c r="E313" s="359">
        <f>1.5*1.5</f>
        <v>2.25</v>
      </c>
      <c r="F313" s="229"/>
      <c r="G313" s="229"/>
      <c r="H313" s="136"/>
      <c r="I313" s="137"/>
      <c r="J313" s="138"/>
      <c r="K313" s="138"/>
    </row>
    <row r="314" spans="1:11" s="139" customFormat="1" ht="11.25" customHeight="1">
      <c r="A314" s="227">
        <v>135</v>
      </c>
      <c r="B314" s="245" t="s">
        <v>233</v>
      </c>
      <c r="C314" s="237" t="s">
        <v>234</v>
      </c>
      <c r="D314" s="227" t="s">
        <v>63</v>
      </c>
      <c r="E314" s="228">
        <f>SUM(E315:E316)</f>
        <v>3.176</v>
      </c>
      <c r="F314" s="229"/>
      <c r="G314" s="229">
        <f>E314*F314</f>
        <v>0</v>
      </c>
      <c r="H314" s="136"/>
      <c r="I314" s="137"/>
      <c r="J314" s="138"/>
      <c r="K314" s="138"/>
    </row>
    <row r="315" spans="1:11" s="195" customFormat="1" ht="11.25" customHeight="1">
      <c r="A315" s="240"/>
      <c r="B315" s="246"/>
      <c r="C315" s="216" t="s">
        <v>235</v>
      </c>
      <c r="D315" s="240"/>
      <c r="E315" s="359">
        <f>0.8*1.97</f>
        <v>1.576</v>
      </c>
      <c r="F315" s="242"/>
      <c r="G315" s="242"/>
      <c r="H315" s="192"/>
      <c r="I315" s="193"/>
      <c r="J315" s="194"/>
      <c r="K315" s="194"/>
    </row>
    <row r="316" spans="1:11" s="195" customFormat="1" ht="11.25" customHeight="1">
      <c r="A316" s="240"/>
      <c r="B316" s="246"/>
      <c r="C316" s="216" t="s">
        <v>555</v>
      </c>
      <c r="D316" s="240"/>
      <c r="E316" s="359">
        <f>0.8*2</f>
        <v>1.6</v>
      </c>
      <c r="F316" s="242"/>
      <c r="G316" s="242"/>
      <c r="H316" s="192"/>
      <c r="I316" s="193"/>
      <c r="J316" s="194"/>
      <c r="K316" s="194"/>
    </row>
    <row r="317" spans="1:11" s="139" customFormat="1" ht="11.25" customHeight="1">
      <c r="A317" s="227">
        <v>136</v>
      </c>
      <c r="B317" s="245" t="s">
        <v>205</v>
      </c>
      <c r="C317" s="237" t="s">
        <v>206</v>
      </c>
      <c r="D317" s="227" t="s">
        <v>63</v>
      </c>
      <c r="E317" s="228">
        <f>SUM(E318:E319)</f>
        <v>8.192</v>
      </c>
      <c r="F317" s="229"/>
      <c r="G317" s="229">
        <f>E317*F317</f>
        <v>0</v>
      </c>
      <c r="H317" s="136"/>
      <c r="I317" s="137"/>
      <c r="J317" s="138"/>
      <c r="K317" s="138"/>
    </row>
    <row r="318" spans="1:11" s="195" customFormat="1" ht="11.25" customHeight="1">
      <c r="A318" s="240"/>
      <c r="B318" s="246"/>
      <c r="C318" s="216" t="s">
        <v>207</v>
      </c>
      <c r="D318" s="240"/>
      <c r="E318" s="359">
        <f>2.4*2.1</f>
        <v>5.04</v>
      </c>
      <c r="F318" s="242"/>
      <c r="G318" s="242"/>
      <c r="H318" s="192"/>
      <c r="I318" s="193"/>
      <c r="J318" s="194"/>
      <c r="K318" s="194"/>
    </row>
    <row r="319" spans="1:11" s="195" customFormat="1" ht="11.25" customHeight="1">
      <c r="A319" s="240"/>
      <c r="B319" s="246"/>
      <c r="C319" s="216" t="s">
        <v>232</v>
      </c>
      <c r="D319" s="240"/>
      <c r="E319" s="359">
        <f>1.6*1.97</f>
        <v>3.152</v>
      </c>
      <c r="F319" s="242"/>
      <c r="G319" s="242"/>
      <c r="H319" s="192"/>
      <c r="I319" s="193"/>
      <c r="J319" s="194"/>
      <c r="K319" s="194"/>
    </row>
    <row r="320" spans="1:11" s="190" customFormat="1" ht="11.25" customHeight="1">
      <c r="A320" s="247">
        <v>137</v>
      </c>
      <c r="B320" s="334" t="s">
        <v>608</v>
      </c>
      <c r="C320" s="333" t="s">
        <v>609</v>
      </c>
      <c r="D320" s="247" t="s">
        <v>63</v>
      </c>
      <c r="E320" s="248">
        <f>SUM(E321)</f>
        <v>25</v>
      </c>
      <c r="F320" s="249"/>
      <c r="G320" s="229">
        <f>E320*F320</f>
        <v>0</v>
      </c>
      <c r="H320" s="187"/>
      <c r="I320" s="137"/>
      <c r="J320" s="189"/>
      <c r="K320" s="189"/>
    </row>
    <row r="321" spans="1:11" s="195" customFormat="1" ht="11.25" customHeight="1">
      <c r="A321" s="240"/>
      <c r="B321" s="246"/>
      <c r="C321" s="216" t="s">
        <v>607</v>
      </c>
      <c r="D321" s="240"/>
      <c r="E321" s="359">
        <f>25</f>
        <v>25</v>
      </c>
      <c r="F321" s="242"/>
      <c r="G321" s="242"/>
      <c r="H321" s="192"/>
      <c r="I321" s="193"/>
      <c r="J321" s="194"/>
      <c r="K321" s="194"/>
    </row>
    <row r="322" spans="1:11" s="190" customFormat="1" ht="11.25" customHeight="1">
      <c r="A322" s="247">
        <v>138</v>
      </c>
      <c r="B322" s="334" t="s">
        <v>434</v>
      </c>
      <c r="C322" s="333" t="s">
        <v>435</v>
      </c>
      <c r="D322" s="247" t="s">
        <v>63</v>
      </c>
      <c r="E322" s="248">
        <f>SUM(E323)</f>
        <v>250</v>
      </c>
      <c r="F322" s="249"/>
      <c r="G322" s="229">
        <f>E322*F322</f>
        <v>0</v>
      </c>
      <c r="H322" s="187"/>
      <c r="I322" s="137"/>
      <c r="J322" s="189"/>
      <c r="K322" s="189"/>
    </row>
    <row r="323" spans="1:11" s="195" customFormat="1" ht="11.25" customHeight="1">
      <c r="A323" s="240"/>
      <c r="B323" s="246"/>
      <c r="C323" s="216" t="s">
        <v>436</v>
      </c>
      <c r="D323" s="240"/>
      <c r="E323" s="359">
        <f>250</f>
        <v>250</v>
      </c>
      <c r="F323" s="242"/>
      <c r="G323" s="242"/>
      <c r="H323" s="192"/>
      <c r="I323" s="193"/>
      <c r="J323" s="194"/>
      <c r="K323" s="194"/>
    </row>
    <row r="324" spans="1:11" s="190" customFormat="1" ht="11.25" customHeight="1">
      <c r="A324" s="247">
        <v>139</v>
      </c>
      <c r="B324" s="334" t="s">
        <v>634</v>
      </c>
      <c r="C324" s="333" t="s">
        <v>635</v>
      </c>
      <c r="D324" s="247" t="s">
        <v>63</v>
      </c>
      <c r="E324" s="248">
        <f>SUM(E325)</f>
        <v>30</v>
      </c>
      <c r="F324" s="249"/>
      <c r="G324" s="229">
        <f>E324*F324</f>
        <v>0</v>
      </c>
      <c r="H324" s="187"/>
      <c r="I324" s="137"/>
      <c r="J324" s="189"/>
      <c r="K324" s="189"/>
    </row>
    <row r="325" spans="1:11" s="195" customFormat="1" ht="11.25" customHeight="1">
      <c r="A325" s="240"/>
      <c r="B325" s="246"/>
      <c r="C325" s="216" t="s">
        <v>636</v>
      </c>
      <c r="D325" s="240"/>
      <c r="E325" s="359">
        <f>(2+1.8+4.7+1.4+1.6+1)*2*1.2</f>
        <v>30</v>
      </c>
      <c r="F325" s="242"/>
      <c r="G325" s="242"/>
      <c r="H325" s="192"/>
      <c r="I325" s="193"/>
      <c r="J325" s="194"/>
      <c r="K325" s="194"/>
    </row>
    <row r="326" spans="1:11" s="139" customFormat="1" ht="11.25" customHeight="1">
      <c r="A326" s="227">
        <v>140</v>
      </c>
      <c r="B326" s="245" t="s">
        <v>119</v>
      </c>
      <c r="C326" s="237" t="s">
        <v>120</v>
      </c>
      <c r="D326" s="227" t="s">
        <v>63</v>
      </c>
      <c r="E326" s="228">
        <f>SUM(E327:E330)</f>
        <v>62.5</v>
      </c>
      <c r="F326" s="229"/>
      <c r="G326" s="229">
        <f>E326*F326</f>
        <v>0</v>
      </c>
      <c r="H326" s="136"/>
      <c r="I326" s="137"/>
      <c r="J326" s="138"/>
      <c r="K326" s="138"/>
    </row>
    <row r="327" spans="1:11" s="195" customFormat="1" ht="22.5" customHeight="1">
      <c r="A327" s="240"/>
      <c r="B327" s="246"/>
      <c r="C327" s="259" t="s">
        <v>429</v>
      </c>
      <c r="D327" s="240"/>
      <c r="E327" s="241"/>
      <c r="F327" s="242"/>
      <c r="G327" s="242"/>
      <c r="H327" s="192"/>
      <c r="I327" s="193"/>
      <c r="J327" s="194"/>
      <c r="K327" s="194"/>
    </row>
    <row r="328" spans="1:11" s="195" customFormat="1" ht="11.25" customHeight="1">
      <c r="A328" s="240"/>
      <c r="B328" s="246"/>
      <c r="C328" s="216" t="s">
        <v>430</v>
      </c>
      <c r="D328" s="240"/>
      <c r="E328" s="359">
        <f>45*0.5</f>
        <v>22.5</v>
      </c>
      <c r="F328" s="242"/>
      <c r="G328" s="242"/>
      <c r="H328" s="192"/>
      <c r="I328" s="193"/>
      <c r="J328" s="194"/>
      <c r="K328" s="194"/>
    </row>
    <row r="329" spans="1:11" s="195" customFormat="1" ht="11.25" customHeight="1">
      <c r="A329" s="240"/>
      <c r="B329" s="246"/>
      <c r="C329" s="216" t="s">
        <v>431</v>
      </c>
      <c r="D329" s="240"/>
      <c r="E329" s="359">
        <f>45*0.5</f>
        <v>22.5</v>
      </c>
      <c r="F329" s="242"/>
      <c r="G329" s="242"/>
      <c r="H329" s="192"/>
      <c r="I329" s="193"/>
      <c r="J329" s="194"/>
      <c r="K329" s="194"/>
    </row>
    <row r="330" spans="1:11" s="195" customFormat="1" ht="11.25" customHeight="1">
      <c r="A330" s="240"/>
      <c r="B330" s="246"/>
      <c r="C330" s="216" t="s">
        <v>432</v>
      </c>
      <c r="D330" s="240"/>
      <c r="E330" s="359">
        <f>35*0.5</f>
        <v>17.5</v>
      </c>
      <c r="F330" s="242"/>
      <c r="G330" s="242"/>
      <c r="H330" s="192"/>
      <c r="I330" s="193"/>
      <c r="J330" s="194"/>
      <c r="K330" s="194"/>
    </row>
    <row r="331" spans="1:11" s="195" customFormat="1" ht="11.25" customHeight="1">
      <c r="A331" s="247">
        <v>141</v>
      </c>
      <c r="B331" s="245" t="s">
        <v>119</v>
      </c>
      <c r="C331" s="237" t="s">
        <v>120</v>
      </c>
      <c r="D331" s="227" t="s">
        <v>63</v>
      </c>
      <c r="E331" s="228">
        <f>SUM(E332)</f>
        <v>47.66519999999999</v>
      </c>
      <c r="F331" s="229"/>
      <c r="G331" s="229">
        <f>E331*F331</f>
        <v>0</v>
      </c>
      <c r="H331" s="136"/>
      <c r="I331" s="137"/>
      <c r="J331" s="194"/>
      <c r="K331" s="194"/>
    </row>
    <row r="332" spans="1:11" s="195" customFormat="1" ht="11.25" customHeight="1">
      <c r="A332" s="240"/>
      <c r="B332" s="246"/>
      <c r="C332" s="216" t="s">
        <v>671</v>
      </c>
      <c r="D332" s="240"/>
      <c r="E332" s="359">
        <f>2*3.14*2.3*3.3</f>
        <v>47.66519999999999</v>
      </c>
      <c r="F332" s="242"/>
      <c r="G332" s="242"/>
      <c r="H332" s="192"/>
      <c r="I332" s="193"/>
      <c r="J332" s="194"/>
      <c r="K332" s="194"/>
    </row>
    <row r="333" spans="1:11" s="139" customFormat="1" ht="11.25" customHeight="1">
      <c r="A333" s="227">
        <v>142</v>
      </c>
      <c r="B333" s="245" t="s">
        <v>126</v>
      </c>
      <c r="C333" s="226" t="s">
        <v>127</v>
      </c>
      <c r="D333" s="227" t="s">
        <v>93</v>
      </c>
      <c r="E333" s="228">
        <v>59.95</v>
      </c>
      <c r="F333" s="229"/>
      <c r="G333" s="229">
        <f>E333*F333</f>
        <v>0</v>
      </c>
      <c r="H333" s="136"/>
      <c r="I333" s="137"/>
      <c r="J333" s="138"/>
      <c r="K333" s="138"/>
    </row>
    <row r="334" spans="1:11" s="139" customFormat="1" ht="11.25" customHeight="1">
      <c r="A334" s="227">
        <v>143</v>
      </c>
      <c r="B334" s="245" t="s">
        <v>128</v>
      </c>
      <c r="C334" s="226" t="s">
        <v>129</v>
      </c>
      <c r="D334" s="227" t="s">
        <v>93</v>
      </c>
      <c r="E334" s="228">
        <v>33.15</v>
      </c>
      <c r="F334" s="229"/>
      <c r="G334" s="229">
        <f>E334*F334</f>
        <v>0</v>
      </c>
      <c r="H334" s="136"/>
      <c r="I334" s="137"/>
      <c r="J334" s="138"/>
      <c r="K334" s="138"/>
    </row>
    <row r="335" spans="1:11" s="139" customFormat="1" ht="11.25" customHeight="1">
      <c r="A335" s="227">
        <v>144</v>
      </c>
      <c r="B335" s="245" t="s">
        <v>130</v>
      </c>
      <c r="C335" s="226" t="s">
        <v>131</v>
      </c>
      <c r="D335" s="227" t="s">
        <v>93</v>
      </c>
      <c r="E335" s="228">
        <v>72.1</v>
      </c>
      <c r="F335" s="229"/>
      <c r="G335" s="229">
        <f>E335*F335</f>
        <v>0</v>
      </c>
      <c r="H335" s="136"/>
      <c r="I335" s="137"/>
      <c r="J335" s="138"/>
      <c r="K335" s="138"/>
    </row>
    <row r="336" spans="1:11" s="139" customFormat="1" ht="11.25" customHeight="1">
      <c r="A336" s="227">
        <v>145</v>
      </c>
      <c r="B336" s="245" t="s">
        <v>132</v>
      </c>
      <c r="C336" s="226" t="s">
        <v>133</v>
      </c>
      <c r="D336" s="227" t="s">
        <v>93</v>
      </c>
      <c r="E336" s="228">
        <f>SUM(E337)</f>
        <v>1369.8999999999999</v>
      </c>
      <c r="F336" s="229"/>
      <c r="G336" s="229">
        <f>E336*F336</f>
        <v>0</v>
      </c>
      <c r="H336" s="136"/>
      <c r="I336" s="137"/>
      <c r="J336" s="138"/>
      <c r="K336" s="138"/>
    </row>
    <row r="337" spans="1:11" s="272" customFormat="1" ht="11.25" customHeight="1">
      <c r="A337" s="266"/>
      <c r="B337" s="357"/>
      <c r="C337" s="273" t="s">
        <v>796</v>
      </c>
      <c r="D337" s="266"/>
      <c r="E337" s="358">
        <f>72.1*19</f>
        <v>1369.8999999999999</v>
      </c>
      <c r="F337" s="268"/>
      <c r="G337" s="268"/>
      <c r="H337" s="269"/>
      <c r="I337" s="270"/>
      <c r="J337" s="271"/>
      <c r="K337" s="271"/>
    </row>
    <row r="338" spans="1:11" s="139" customFormat="1" ht="11.25" customHeight="1">
      <c r="A338" s="227">
        <v>146</v>
      </c>
      <c r="B338" s="245" t="s">
        <v>134</v>
      </c>
      <c r="C338" s="226" t="s">
        <v>135</v>
      </c>
      <c r="D338" s="227" t="s">
        <v>93</v>
      </c>
      <c r="E338" s="228">
        <v>72.1</v>
      </c>
      <c r="F338" s="229"/>
      <c r="G338" s="229">
        <f>E338*F338</f>
        <v>0</v>
      </c>
      <c r="H338" s="136"/>
      <c r="I338" s="137"/>
      <c r="J338" s="138"/>
      <c r="K338" s="138"/>
    </row>
    <row r="339" spans="1:11" s="139" customFormat="1" ht="11.25" customHeight="1">
      <c r="A339" s="227">
        <v>147</v>
      </c>
      <c r="B339" s="245" t="s">
        <v>136</v>
      </c>
      <c r="C339" s="226" t="s">
        <v>137</v>
      </c>
      <c r="D339" s="227" t="s">
        <v>93</v>
      </c>
      <c r="E339" s="228">
        <f>SUM(E340)</f>
        <v>288.4</v>
      </c>
      <c r="F339" s="229"/>
      <c r="G339" s="229">
        <f>E339*F339</f>
        <v>0</v>
      </c>
      <c r="H339" s="136"/>
      <c r="I339" s="137"/>
      <c r="J339" s="138"/>
      <c r="K339" s="138"/>
    </row>
    <row r="340" spans="1:11" s="272" customFormat="1" ht="11.25" customHeight="1">
      <c r="A340" s="266"/>
      <c r="B340" s="357"/>
      <c r="C340" s="273" t="s">
        <v>797</v>
      </c>
      <c r="D340" s="266"/>
      <c r="E340" s="358">
        <f>72.1*4</f>
        <v>288.4</v>
      </c>
      <c r="F340" s="268"/>
      <c r="G340" s="268"/>
      <c r="H340" s="269"/>
      <c r="I340" s="270"/>
      <c r="J340" s="271"/>
      <c r="K340" s="271"/>
    </row>
    <row r="341" spans="1:11" s="139" customFormat="1" ht="11.25" customHeight="1">
      <c r="A341" s="227">
        <v>148</v>
      </c>
      <c r="B341" s="245" t="s">
        <v>799</v>
      </c>
      <c r="C341" s="226" t="s">
        <v>798</v>
      </c>
      <c r="D341" s="227" t="s">
        <v>93</v>
      </c>
      <c r="E341" s="228">
        <v>42.3</v>
      </c>
      <c r="F341" s="229"/>
      <c r="G341" s="229">
        <f>E341*F341</f>
        <v>0</v>
      </c>
      <c r="H341" s="136"/>
      <c r="I341" s="137"/>
      <c r="J341" s="138"/>
      <c r="K341" s="138"/>
    </row>
    <row r="342" spans="1:11" s="139" customFormat="1" ht="11.25" customHeight="1">
      <c r="A342" s="227">
        <v>149</v>
      </c>
      <c r="B342" s="245" t="s">
        <v>791</v>
      </c>
      <c r="C342" s="226" t="s">
        <v>792</v>
      </c>
      <c r="D342" s="227" t="s">
        <v>93</v>
      </c>
      <c r="E342" s="228">
        <v>9.8</v>
      </c>
      <c r="F342" s="229"/>
      <c r="G342" s="229">
        <f>E342*F342</f>
        <v>0</v>
      </c>
      <c r="H342" s="136"/>
      <c r="I342" s="137"/>
      <c r="J342" s="138"/>
      <c r="K342" s="138"/>
    </row>
    <row r="343" spans="1:11" s="139" customFormat="1" ht="11.25" customHeight="1">
      <c r="A343" s="227">
        <v>150</v>
      </c>
      <c r="B343" s="245" t="s">
        <v>793</v>
      </c>
      <c r="C343" s="226" t="s">
        <v>794</v>
      </c>
      <c r="D343" s="227" t="s">
        <v>93</v>
      </c>
      <c r="E343" s="228">
        <v>15.9</v>
      </c>
      <c r="F343" s="229"/>
      <c r="G343" s="229">
        <f>E343*F343</f>
        <v>0</v>
      </c>
      <c r="H343" s="136"/>
      <c r="I343" s="137"/>
      <c r="J343" s="138"/>
      <c r="K343" s="138"/>
    </row>
    <row r="344" spans="1:11" s="139" customFormat="1" ht="11.25" customHeight="1">
      <c r="A344" s="227">
        <v>151</v>
      </c>
      <c r="B344" s="245" t="s">
        <v>795</v>
      </c>
      <c r="C344" s="226" t="s">
        <v>800</v>
      </c>
      <c r="D344" s="227" t="s">
        <v>93</v>
      </c>
      <c r="E344" s="228">
        <v>4.1</v>
      </c>
      <c r="F344" s="229"/>
      <c r="G344" s="229">
        <f>E344*F344</f>
        <v>0</v>
      </c>
      <c r="H344" s="136"/>
      <c r="I344" s="137"/>
      <c r="J344" s="138"/>
      <c r="K344" s="138"/>
    </row>
    <row r="345" spans="1:11" s="147" customFormat="1" ht="12">
      <c r="A345" s="230"/>
      <c r="B345" s="231" t="s">
        <v>62</v>
      </c>
      <c r="C345" s="231" t="str">
        <f>CONCATENATE(B246," ",C246)</f>
        <v>0096 Bourání a podchycování konstrukcí</v>
      </c>
      <c r="D345" s="232"/>
      <c r="E345" s="233"/>
      <c r="F345" s="233"/>
      <c r="G345" s="234">
        <f>SUM(G246:G344)</f>
        <v>0</v>
      </c>
      <c r="H345" s="185"/>
      <c r="I345" s="186"/>
      <c r="J345" s="146"/>
      <c r="K345" s="146"/>
    </row>
    <row r="346" spans="1:11" s="143" customFormat="1" ht="12">
      <c r="A346" s="220" t="s">
        <v>61</v>
      </c>
      <c r="B346" s="221" t="s">
        <v>160</v>
      </c>
      <c r="C346" s="220" t="s">
        <v>159</v>
      </c>
      <c r="D346" s="222"/>
      <c r="E346" s="223"/>
      <c r="F346" s="223"/>
      <c r="G346" s="223"/>
      <c r="H346" s="183"/>
      <c r="I346" s="184"/>
      <c r="J346" s="142"/>
      <c r="K346" s="142"/>
    </row>
    <row r="347" spans="1:11" s="139" customFormat="1" ht="11.25" customHeight="1">
      <c r="A347" s="227">
        <v>152</v>
      </c>
      <c r="B347" s="224" t="s">
        <v>161</v>
      </c>
      <c r="C347" s="224" t="s">
        <v>162</v>
      </c>
      <c r="D347" s="227" t="s">
        <v>93</v>
      </c>
      <c r="E347" s="229">
        <v>142.82</v>
      </c>
      <c r="F347" s="229"/>
      <c r="G347" s="229">
        <f>E347*F347</f>
        <v>0</v>
      </c>
      <c r="H347" s="136"/>
      <c r="I347" s="137"/>
      <c r="J347" s="138"/>
      <c r="K347" s="138"/>
    </row>
    <row r="348" spans="1:11" s="272" customFormat="1" ht="11.25" customHeight="1">
      <c r="A348" s="266"/>
      <c r="B348" s="288"/>
      <c r="C348" s="288" t="s">
        <v>163</v>
      </c>
      <c r="D348" s="266"/>
      <c r="E348" s="268"/>
      <c r="F348" s="268"/>
      <c r="G348" s="268"/>
      <c r="H348" s="269"/>
      <c r="I348" s="270"/>
      <c r="J348" s="271"/>
      <c r="K348" s="271"/>
    </row>
    <row r="349" spans="1:11" s="147" customFormat="1" ht="12">
      <c r="A349" s="230"/>
      <c r="B349" s="231" t="s">
        <v>62</v>
      </c>
      <c r="C349" s="231" t="str">
        <f>CONCATENATE(B346," ",C346)</f>
        <v>0099 Přesun hmot HSV</v>
      </c>
      <c r="D349" s="232"/>
      <c r="E349" s="233"/>
      <c r="F349" s="233"/>
      <c r="G349" s="234">
        <f>SUM(G346:G348)</f>
        <v>0</v>
      </c>
      <c r="H349" s="185"/>
      <c r="I349" s="186"/>
      <c r="J349" s="146"/>
      <c r="K349" s="146"/>
    </row>
    <row r="350" spans="1:11" s="199" customFormat="1" ht="12">
      <c r="A350" s="335" t="s">
        <v>61</v>
      </c>
      <c r="B350" s="336">
        <v>711</v>
      </c>
      <c r="C350" s="335" t="s">
        <v>496</v>
      </c>
      <c r="D350" s="321"/>
      <c r="E350" s="322"/>
      <c r="F350" s="322"/>
      <c r="G350" s="322"/>
      <c r="H350" s="217"/>
      <c r="I350" s="218"/>
      <c r="J350" s="198"/>
      <c r="K350" s="198"/>
    </row>
    <row r="351" spans="1:11" s="190" customFormat="1" ht="22.5" customHeight="1">
      <c r="A351" s="297">
        <v>153</v>
      </c>
      <c r="B351" s="251" t="s">
        <v>507</v>
      </c>
      <c r="C351" s="250" t="s">
        <v>520</v>
      </c>
      <c r="D351" s="247" t="s">
        <v>63</v>
      </c>
      <c r="E351" s="249">
        <f>SUM(E352:E353)</f>
        <v>70</v>
      </c>
      <c r="F351" s="249"/>
      <c r="G351" s="249">
        <f>E351*F351</f>
        <v>0</v>
      </c>
      <c r="H351" s="187"/>
      <c r="I351" s="188"/>
      <c r="J351" s="189"/>
      <c r="K351" s="189"/>
    </row>
    <row r="352" spans="1:11" s="190" customFormat="1" ht="11.25" customHeight="1">
      <c r="A352" s="247"/>
      <c r="B352" s="299"/>
      <c r="C352" s="238" t="s">
        <v>509</v>
      </c>
      <c r="D352" s="247"/>
      <c r="E352" s="287">
        <f>40*1</f>
        <v>40</v>
      </c>
      <c r="F352" s="249"/>
      <c r="G352" s="249"/>
      <c r="H352" s="187"/>
      <c r="I352" s="188"/>
      <c r="J352" s="189"/>
      <c r="K352" s="189"/>
    </row>
    <row r="353" spans="1:11" s="190" customFormat="1" ht="11.25" customHeight="1">
      <c r="A353" s="247"/>
      <c r="B353" s="299"/>
      <c r="C353" s="238" t="s">
        <v>508</v>
      </c>
      <c r="D353" s="247"/>
      <c r="E353" s="287">
        <f>30*1</f>
        <v>30</v>
      </c>
      <c r="F353" s="249"/>
      <c r="G353" s="249"/>
      <c r="H353" s="187"/>
      <c r="I353" s="188"/>
      <c r="J353" s="189"/>
      <c r="K353" s="189"/>
    </row>
    <row r="354" spans="1:11" s="190" customFormat="1" ht="11.25" customHeight="1">
      <c r="A354" s="247">
        <v>154</v>
      </c>
      <c r="B354" s="299" t="s">
        <v>516</v>
      </c>
      <c r="C354" s="299" t="s">
        <v>517</v>
      </c>
      <c r="D354" s="247" t="s">
        <v>80</v>
      </c>
      <c r="E354" s="249">
        <f>70</f>
        <v>70</v>
      </c>
      <c r="F354" s="249"/>
      <c r="G354" s="249">
        <f>E354*F354</f>
        <v>0</v>
      </c>
      <c r="H354" s="187"/>
      <c r="I354" s="188"/>
      <c r="J354" s="189"/>
      <c r="K354" s="189"/>
    </row>
    <row r="355" spans="1:11" s="190" customFormat="1" ht="22.5" customHeight="1">
      <c r="A355" s="297">
        <v>155</v>
      </c>
      <c r="B355" s="251" t="s">
        <v>514</v>
      </c>
      <c r="C355" s="250" t="s">
        <v>515</v>
      </c>
      <c r="D355" s="247" t="s">
        <v>63</v>
      </c>
      <c r="E355" s="249">
        <f>SUM(E356:E357)</f>
        <v>140</v>
      </c>
      <c r="F355" s="249"/>
      <c r="G355" s="249">
        <f>E355*F355</f>
        <v>0</v>
      </c>
      <c r="H355" s="187"/>
      <c r="I355" s="188"/>
      <c r="J355" s="189"/>
      <c r="K355" s="189"/>
    </row>
    <row r="356" spans="1:11" s="190" customFormat="1" ht="11.25" customHeight="1">
      <c r="A356" s="247"/>
      <c r="B356" s="299"/>
      <c r="C356" s="238" t="s">
        <v>518</v>
      </c>
      <c r="D356" s="247"/>
      <c r="E356" s="287">
        <f>40*2</f>
        <v>80</v>
      </c>
      <c r="F356" s="249"/>
      <c r="G356" s="249"/>
      <c r="H356" s="187"/>
      <c r="I356" s="188"/>
      <c r="J356" s="189"/>
      <c r="K356" s="189"/>
    </row>
    <row r="357" spans="1:11" s="190" customFormat="1" ht="11.25" customHeight="1">
      <c r="A357" s="247"/>
      <c r="B357" s="299"/>
      <c r="C357" s="238" t="s">
        <v>519</v>
      </c>
      <c r="D357" s="247"/>
      <c r="E357" s="287">
        <f>30*2</f>
        <v>60</v>
      </c>
      <c r="F357" s="249"/>
      <c r="G357" s="249"/>
      <c r="H357" s="187"/>
      <c r="I357" s="188"/>
      <c r="J357" s="189"/>
      <c r="K357" s="189"/>
    </row>
    <row r="358" spans="1:11" s="190" customFormat="1" ht="11.25" customHeight="1">
      <c r="A358" s="247">
        <v>156</v>
      </c>
      <c r="B358" s="299" t="s">
        <v>497</v>
      </c>
      <c r="C358" s="299" t="s">
        <v>498</v>
      </c>
      <c r="D358" s="247" t="s">
        <v>63</v>
      </c>
      <c r="E358" s="249">
        <f>SUM(E359:E361)</f>
        <v>91</v>
      </c>
      <c r="F358" s="249"/>
      <c r="G358" s="249">
        <f>E358*F358</f>
        <v>0</v>
      </c>
      <c r="H358" s="187"/>
      <c r="I358" s="188"/>
      <c r="J358" s="189"/>
      <c r="K358" s="189"/>
    </row>
    <row r="359" spans="1:11" s="195" customFormat="1" ht="11.25" customHeight="1">
      <c r="A359" s="240"/>
      <c r="B359" s="238"/>
      <c r="C359" s="238" t="s">
        <v>499</v>
      </c>
      <c r="D359" s="240"/>
      <c r="E359" s="242"/>
      <c r="F359" s="242"/>
      <c r="G359" s="242"/>
      <c r="H359" s="192"/>
      <c r="I359" s="193"/>
      <c r="J359" s="194"/>
      <c r="K359" s="194"/>
    </row>
    <row r="360" spans="1:11" s="195" customFormat="1" ht="11.25" customHeight="1">
      <c r="A360" s="240"/>
      <c r="B360" s="238"/>
      <c r="C360" s="238" t="s">
        <v>510</v>
      </c>
      <c r="D360" s="240"/>
      <c r="E360" s="287">
        <f>40*1.3</f>
        <v>52</v>
      </c>
      <c r="F360" s="242"/>
      <c r="G360" s="242"/>
      <c r="H360" s="192"/>
      <c r="I360" s="193"/>
      <c r="J360" s="194"/>
      <c r="K360" s="194"/>
    </row>
    <row r="361" spans="1:11" s="195" customFormat="1" ht="11.25" customHeight="1">
      <c r="A361" s="240"/>
      <c r="B361" s="238"/>
      <c r="C361" s="238" t="s">
        <v>511</v>
      </c>
      <c r="D361" s="240"/>
      <c r="E361" s="287">
        <f>30*1.3</f>
        <v>39</v>
      </c>
      <c r="F361" s="242"/>
      <c r="G361" s="242"/>
      <c r="H361" s="192"/>
      <c r="I361" s="193"/>
      <c r="J361" s="194"/>
      <c r="K361" s="194"/>
    </row>
    <row r="362" spans="1:11" s="190" customFormat="1" ht="11.25" customHeight="1">
      <c r="A362" s="247">
        <v>157</v>
      </c>
      <c r="B362" s="299" t="s">
        <v>805</v>
      </c>
      <c r="C362" s="299" t="s">
        <v>806</v>
      </c>
      <c r="D362" s="247" t="s">
        <v>93</v>
      </c>
      <c r="E362" s="249">
        <v>0.13</v>
      </c>
      <c r="F362" s="249"/>
      <c r="G362" s="249">
        <f>E362*F362</f>
        <v>0</v>
      </c>
      <c r="H362" s="187"/>
      <c r="I362" s="188"/>
      <c r="J362" s="189"/>
      <c r="K362" s="189"/>
    </row>
    <row r="363" spans="1:11" s="147" customFormat="1" ht="12">
      <c r="A363" s="230"/>
      <c r="B363" s="231" t="s">
        <v>62</v>
      </c>
      <c r="C363" s="231" t="str">
        <f>CONCATENATE(B350," ",C350)</f>
        <v>711 Izolace proti vodě</v>
      </c>
      <c r="D363" s="232"/>
      <c r="E363" s="233"/>
      <c r="F363" s="233"/>
      <c r="G363" s="234">
        <f>SUM(G350:G362)</f>
        <v>0</v>
      </c>
      <c r="H363" s="185"/>
      <c r="I363" s="186"/>
      <c r="J363" s="146"/>
      <c r="K363" s="146"/>
    </row>
    <row r="364" spans="1:11" s="143" customFormat="1" ht="12">
      <c r="A364" s="220" t="s">
        <v>61</v>
      </c>
      <c r="B364" s="280">
        <v>712</v>
      </c>
      <c r="C364" s="220" t="s">
        <v>145</v>
      </c>
      <c r="D364" s="222"/>
      <c r="E364" s="223"/>
      <c r="F364" s="223"/>
      <c r="G364" s="223"/>
      <c r="H364" s="183"/>
      <c r="I364" s="184"/>
      <c r="J364" s="142"/>
      <c r="K364" s="142"/>
    </row>
    <row r="365" spans="1:11" s="195" customFormat="1" ht="45" customHeight="1">
      <c r="A365" s="240"/>
      <c r="B365" s="286"/>
      <c r="C365" s="254" t="s">
        <v>650</v>
      </c>
      <c r="D365" s="240"/>
      <c r="E365" s="242"/>
      <c r="F365" s="242"/>
      <c r="G365" s="242"/>
      <c r="H365" s="192"/>
      <c r="I365" s="193"/>
      <c r="J365" s="194"/>
      <c r="K365" s="194"/>
    </row>
    <row r="366" spans="1:11" s="139" customFormat="1" ht="78.75" customHeight="1">
      <c r="A366" s="355">
        <v>158</v>
      </c>
      <c r="B366" s="285">
        <v>712370010</v>
      </c>
      <c r="C366" s="236" t="s">
        <v>649</v>
      </c>
      <c r="D366" s="227" t="s">
        <v>63</v>
      </c>
      <c r="E366" s="229">
        <f>SUM(E367:E368)</f>
        <v>901.35</v>
      </c>
      <c r="F366" s="229"/>
      <c r="G366" s="229">
        <f>E366*F366</f>
        <v>0</v>
      </c>
      <c r="H366" s="136"/>
      <c r="I366" s="137"/>
      <c r="J366" s="138"/>
      <c r="K366" s="138"/>
    </row>
    <row r="367" spans="1:11" s="195" customFormat="1" ht="33.75" customHeight="1">
      <c r="A367" s="240"/>
      <c r="B367" s="286"/>
      <c r="C367" s="254" t="s">
        <v>653</v>
      </c>
      <c r="D367" s="240"/>
      <c r="E367" s="287">
        <f>6*4.6+6*25.3-3.4*0.8*2+29.9*2.2+11.8*0.8+3.2*13.5*2+29.9*2.8-6.8*0.6+34.5*6.3+25.3*0.8+5.8*3.5-1.3*1.1*2</f>
        <v>670.25</v>
      </c>
      <c r="F367" s="242"/>
      <c r="G367" s="242"/>
      <c r="H367" s="192"/>
      <c r="I367" s="193"/>
      <c r="J367" s="194"/>
      <c r="K367" s="194"/>
    </row>
    <row r="368" spans="1:11" s="195" customFormat="1" ht="11.25" customHeight="1">
      <c r="A368" s="240"/>
      <c r="B368" s="286"/>
      <c r="C368" s="238" t="s">
        <v>652</v>
      </c>
      <c r="D368" s="240"/>
      <c r="E368" s="287">
        <f>9.1*12.8*2-3.1*0.6</f>
        <v>231.1</v>
      </c>
      <c r="F368" s="242"/>
      <c r="G368" s="242"/>
      <c r="H368" s="192"/>
      <c r="I368" s="193"/>
      <c r="J368" s="194"/>
      <c r="K368" s="194"/>
    </row>
    <row r="369" spans="1:11" s="139" customFormat="1" ht="56.25" customHeight="1">
      <c r="A369" s="355">
        <v>159</v>
      </c>
      <c r="B369" s="285">
        <v>712370011</v>
      </c>
      <c r="C369" s="236" t="s">
        <v>654</v>
      </c>
      <c r="D369" s="227" t="s">
        <v>63</v>
      </c>
      <c r="E369" s="229">
        <v>16.5</v>
      </c>
      <c r="F369" s="229"/>
      <c r="G369" s="229">
        <f>E369*F369</f>
        <v>0</v>
      </c>
      <c r="H369" s="136"/>
      <c r="I369" s="137"/>
      <c r="J369" s="138"/>
      <c r="K369" s="138"/>
    </row>
    <row r="370" spans="1:11" s="139" customFormat="1" ht="22.5" customHeight="1">
      <c r="A370" s="355">
        <v>160</v>
      </c>
      <c r="B370" s="285">
        <v>712370012</v>
      </c>
      <c r="C370" s="236" t="s">
        <v>651</v>
      </c>
      <c r="D370" s="227" t="s">
        <v>80</v>
      </c>
      <c r="E370" s="229">
        <v>231</v>
      </c>
      <c r="F370" s="229"/>
      <c r="G370" s="229">
        <f>E370*F370</f>
        <v>0</v>
      </c>
      <c r="H370" s="136"/>
      <c r="I370" s="137"/>
      <c r="J370" s="138"/>
      <c r="K370" s="138"/>
    </row>
    <row r="371" spans="1:11" s="139" customFormat="1" ht="45" customHeight="1">
      <c r="A371" s="355">
        <v>161</v>
      </c>
      <c r="B371" s="285">
        <v>712370013</v>
      </c>
      <c r="C371" s="236" t="s">
        <v>655</v>
      </c>
      <c r="D371" s="227" t="s">
        <v>80</v>
      </c>
      <c r="E371" s="229">
        <v>76.5</v>
      </c>
      <c r="F371" s="229"/>
      <c r="G371" s="229">
        <f>E371*F371</f>
        <v>0</v>
      </c>
      <c r="H371" s="136"/>
      <c r="I371" s="137"/>
      <c r="J371" s="138"/>
      <c r="K371" s="138"/>
    </row>
    <row r="372" spans="1:11" s="139" customFormat="1" ht="33.75" customHeight="1">
      <c r="A372" s="355">
        <v>162</v>
      </c>
      <c r="B372" s="285">
        <v>712370014</v>
      </c>
      <c r="C372" s="236" t="s">
        <v>656</v>
      </c>
      <c r="D372" s="227" t="s">
        <v>80</v>
      </c>
      <c r="E372" s="229">
        <v>38.5</v>
      </c>
      <c r="F372" s="229"/>
      <c r="G372" s="229">
        <f aca="true" t="shared" si="3" ref="G372:G379">E372*F372</f>
        <v>0</v>
      </c>
      <c r="H372" s="136"/>
      <c r="I372" s="137"/>
      <c r="J372" s="138"/>
      <c r="K372" s="138"/>
    </row>
    <row r="373" spans="1:11" s="139" customFormat="1" ht="33.75" customHeight="1">
      <c r="A373" s="355">
        <v>163</v>
      </c>
      <c r="B373" s="285">
        <v>712370015</v>
      </c>
      <c r="C373" s="236" t="s">
        <v>659</v>
      </c>
      <c r="D373" s="227" t="s">
        <v>83</v>
      </c>
      <c r="E373" s="229">
        <v>8</v>
      </c>
      <c r="F373" s="229"/>
      <c r="G373" s="229">
        <f t="shared" si="3"/>
        <v>0</v>
      </c>
      <c r="H373" s="136"/>
      <c r="I373" s="137"/>
      <c r="J373" s="138"/>
      <c r="K373" s="138"/>
    </row>
    <row r="374" spans="1:11" s="139" customFormat="1" ht="22.5" customHeight="1">
      <c r="A374" s="355">
        <v>164</v>
      </c>
      <c r="B374" s="285">
        <v>712370016</v>
      </c>
      <c r="C374" s="236" t="s">
        <v>657</v>
      </c>
      <c r="D374" s="227" t="s">
        <v>83</v>
      </c>
      <c r="E374" s="229">
        <v>10</v>
      </c>
      <c r="F374" s="229"/>
      <c r="G374" s="229">
        <f t="shared" si="3"/>
        <v>0</v>
      </c>
      <c r="H374" s="136"/>
      <c r="I374" s="137"/>
      <c r="J374" s="138"/>
      <c r="K374" s="138"/>
    </row>
    <row r="375" spans="1:11" s="139" customFormat="1" ht="45" customHeight="1">
      <c r="A375" s="355">
        <v>165</v>
      </c>
      <c r="B375" s="285">
        <v>712370017</v>
      </c>
      <c r="C375" s="236" t="s">
        <v>660</v>
      </c>
      <c r="D375" s="227" t="s">
        <v>83</v>
      </c>
      <c r="E375" s="229">
        <v>5</v>
      </c>
      <c r="F375" s="229"/>
      <c r="G375" s="229">
        <f t="shared" si="3"/>
        <v>0</v>
      </c>
      <c r="H375" s="136"/>
      <c r="I375" s="137"/>
      <c r="J375" s="138"/>
      <c r="K375" s="138"/>
    </row>
    <row r="376" spans="1:11" s="139" customFormat="1" ht="45" customHeight="1">
      <c r="A376" s="355">
        <v>166</v>
      </c>
      <c r="B376" s="285">
        <v>712370018</v>
      </c>
      <c r="C376" s="236" t="s">
        <v>658</v>
      </c>
      <c r="D376" s="227" t="s">
        <v>83</v>
      </c>
      <c r="E376" s="229">
        <v>2</v>
      </c>
      <c r="F376" s="229"/>
      <c r="G376" s="229">
        <f t="shared" si="3"/>
        <v>0</v>
      </c>
      <c r="H376" s="136"/>
      <c r="I376" s="137"/>
      <c r="J376" s="138"/>
      <c r="K376" s="138"/>
    </row>
    <row r="377" spans="1:11" s="139" customFormat="1" ht="33.75" customHeight="1">
      <c r="A377" s="355">
        <v>167</v>
      </c>
      <c r="B377" s="285">
        <v>712370019</v>
      </c>
      <c r="C377" s="236" t="s">
        <v>662</v>
      </c>
      <c r="D377" s="227" t="s">
        <v>83</v>
      </c>
      <c r="E377" s="229">
        <v>2</v>
      </c>
      <c r="F377" s="229"/>
      <c r="G377" s="229">
        <f t="shared" si="3"/>
        <v>0</v>
      </c>
      <c r="H377" s="136"/>
      <c r="I377" s="137"/>
      <c r="J377" s="138"/>
      <c r="K377" s="138"/>
    </row>
    <row r="378" spans="1:11" s="139" customFormat="1" ht="33.75" customHeight="1">
      <c r="A378" s="355">
        <v>168</v>
      </c>
      <c r="B378" s="285">
        <v>712370020</v>
      </c>
      <c r="C378" s="236" t="s">
        <v>663</v>
      </c>
      <c r="D378" s="227" t="s">
        <v>83</v>
      </c>
      <c r="E378" s="229">
        <v>2</v>
      </c>
      <c r="F378" s="229"/>
      <c r="G378" s="229">
        <f t="shared" si="3"/>
        <v>0</v>
      </c>
      <c r="H378" s="136"/>
      <c r="I378" s="137"/>
      <c r="J378" s="138"/>
      <c r="K378" s="138"/>
    </row>
    <row r="379" spans="1:11" s="139" customFormat="1" ht="22.5" customHeight="1">
      <c r="A379" s="355">
        <v>169</v>
      </c>
      <c r="B379" s="285">
        <v>712370021</v>
      </c>
      <c r="C379" s="236" t="s">
        <v>664</v>
      </c>
      <c r="D379" s="227" t="s">
        <v>83</v>
      </c>
      <c r="E379" s="229">
        <v>1</v>
      </c>
      <c r="F379" s="229"/>
      <c r="G379" s="229">
        <f t="shared" si="3"/>
        <v>0</v>
      </c>
      <c r="H379" s="136"/>
      <c r="I379" s="137"/>
      <c r="J379" s="138"/>
      <c r="K379" s="138"/>
    </row>
    <row r="380" spans="1:11" s="147" customFormat="1" ht="12">
      <c r="A380" s="230"/>
      <c r="B380" s="231" t="s">
        <v>62</v>
      </c>
      <c r="C380" s="231" t="str">
        <f>CONCATENATE(B364," ",C364)</f>
        <v>712 Povlakové krytiny</v>
      </c>
      <c r="D380" s="232"/>
      <c r="E380" s="233"/>
      <c r="F380" s="233"/>
      <c r="G380" s="234">
        <f>SUM(G364:G379)</f>
        <v>0</v>
      </c>
      <c r="H380" s="185"/>
      <c r="I380" s="186"/>
      <c r="J380" s="146"/>
      <c r="K380" s="146"/>
    </row>
    <row r="381" spans="1:11" s="143" customFormat="1" ht="12" customHeight="1">
      <c r="A381" s="220" t="s">
        <v>61</v>
      </c>
      <c r="B381" s="280">
        <v>713</v>
      </c>
      <c r="C381" s="220" t="s">
        <v>87</v>
      </c>
      <c r="D381" s="222"/>
      <c r="E381" s="223"/>
      <c r="F381" s="281"/>
      <c r="G381" s="294"/>
      <c r="H381" s="140"/>
      <c r="I381" s="141"/>
      <c r="J381" s="142"/>
      <c r="K381" s="142"/>
    </row>
    <row r="382" spans="1:11" s="143" customFormat="1" ht="56.25" customHeight="1">
      <c r="A382" s="297">
        <v>170</v>
      </c>
      <c r="B382" s="285">
        <v>713130000</v>
      </c>
      <c r="C382" s="236" t="s">
        <v>405</v>
      </c>
      <c r="D382" s="227" t="s">
        <v>63</v>
      </c>
      <c r="E382" s="229">
        <v>533.93</v>
      </c>
      <c r="F382" s="283"/>
      <c r="G382" s="294">
        <f>E382*F382</f>
        <v>0</v>
      </c>
      <c r="H382" s="140"/>
      <c r="I382" s="141"/>
      <c r="J382" s="142"/>
      <c r="K382" s="142"/>
    </row>
    <row r="383" spans="1:11" s="190" customFormat="1" ht="11.25" customHeight="1">
      <c r="A383" s="247">
        <v>171</v>
      </c>
      <c r="B383" s="295" t="s">
        <v>500</v>
      </c>
      <c r="C383" s="299" t="s">
        <v>501</v>
      </c>
      <c r="D383" s="247" t="s">
        <v>63</v>
      </c>
      <c r="E383" s="249">
        <f>SUM(E384:E385)</f>
        <v>77</v>
      </c>
      <c r="F383" s="294"/>
      <c r="G383" s="294">
        <f>E383*F383</f>
        <v>0</v>
      </c>
      <c r="H383" s="187"/>
      <c r="I383" s="188"/>
      <c r="J383" s="189"/>
      <c r="K383" s="189"/>
    </row>
    <row r="384" spans="1:11" s="190" customFormat="1" ht="11.25" customHeight="1">
      <c r="A384" s="247"/>
      <c r="B384" s="295"/>
      <c r="C384" s="238" t="s">
        <v>505</v>
      </c>
      <c r="D384" s="247"/>
      <c r="E384" s="287">
        <f>40*1.1</f>
        <v>44</v>
      </c>
      <c r="F384" s="294"/>
      <c r="G384" s="294"/>
      <c r="H384" s="187"/>
      <c r="I384" s="188"/>
      <c r="J384" s="189"/>
      <c r="K384" s="189"/>
    </row>
    <row r="385" spans="1:11" s="190" customFormat="1" ht="11.25" customHeight="1">
      <c r="A385" s="247"/>
      <c r="B385" s="295"/>
      <c r="C385" s="238" t="s">
        <v>506</v>
      </c>
      <c r="D385" s="247"/>
      <c r="E385" s="287">
        <f>30*1.1</f>
        <v>33</v>
      </c>
      <c r="F385" s="294"/>
      <c r="G385" s="294"/>
      <c r="H385" s="187"/>
      <c r="I385" s="188"/>
      <c r="J385" s="189"/>
      <c r="K385" s="189"/>
    </row>
    <row r="386" spans="1:11" s="190" customFormat="1" ht="11.25" customHeight="1">
      <c r="A386" s="247">
        <v>172</v>
      </c>
      <c r="B386" s="295" t="s">
        <v>502</v>
      </c>
      <c r="C386" s="299" t="s">
        <v>503</v>
      </c>
      <c r="D386" s="247" t="s">
        <v>63</v>
      </c>
      <c r="E386" s="249">
        <f>SUM(E387)</f>
        <v>79.31</v>
      </c>
      <c r="F386" s="294"/>
      <c r="G386" s="294">
        <f>E386*F386</f>
        <v>0</v>
      </c>
      <c r="H386" s="187"/>
      <c r="I386" s="188"/>
      <c r="J386" s="189"/>
      <c r="K386" s="189"/>
    </row>
    <row r="387" spans="1:11" s="195" customFormat="1" ht="11.25" customHeight="1">
      <c r="A387" s="240"/>
      <c r="B387" s="286"/>
      <c r="C387" s="238" t="s">
        <v>504</v>
      </c>
      <c r="D387" s="240"/>
      <c r="E387" s="287">
        <f>77*1.03</f>
        <v>79.31</v>
      </c>
      <c r="F387" s="287"/>
      <c r="G387" s="287"/>
      <c r="H387" s="192"/>
      <c r="I387" s="193"/>
      <c r="J387" s="194"/>
      <c r="K387" s="194"/>
    </row>
    <row r="388" spans="1:11" s="190" customFormat="1" ht="11.25" customHeight="1">
      <c r="A388" s="247">
        <v>173</v>
      </c>
      <c r="B388" s="295" t="s">
        <v>807</v>
      </c>
      <c r="C388" s="299" t="s">
        <v>808</v>
      </c>
      <c r="D388" s="247" t="s">
        <v>93</v>
      </c>
      <c r="E388" s="249">
        <v>0.35</v>
      </c>
      <c r="F388" s="294"/>
      <c r="G388" s="294">
        <f>E388*F388</f>
        <v>0</v>
      </c>
      <c r="H388" s="187"/>
      <c r="I388" s="188"/>
      <c r="J388" s="189"/>
      <c r="K388" s="189"/>
    </row>
    <row r="389" spans="1:11" s="147" customFormat="1" ht="12" customHeight="1">
      <c r="A389" s="230"/>
      <c r="B389" s="231" t="s">
        <v>62</v>
      </c>
      <c r="C389" s="231" t="str">
        <f>CONCATENATE(B381," ",C381)</f>
        <v>713 Izolace tepelné</v>
      </c>
      <c r="D389" s="231"/>
      <c r="E389" s="284"/>
      <c r="F389" s="231"/>
      <c r="G389" s="314">
        <f>SUM(G381:G388)</f>
        <v>0</v>
      </c>
      <c r="H389" s="144"/>
      <c r="I389" s="145"/>
      <c r="J389" s="146"/>
      <c r="K389" s="146"/>
    </row>
    <row r="390" spans="1:11" s="143" customFormat="1" ht="12" customHeight="1">
      <c r="A390" s="220" t="s">
        <v>61</v>
      </c>
      <c r="B390" s="280">
        <v>731</v>
      </c>
      <c r="C390" s="220" t="s">
        <v>92</v>
      </c>
      <c r="D390" s="222"/>
      <c r="E390" s="223"/>
      <c r="F390" s="281"/>
      <c r="G390" s="281"/>
      <c r="H390" s="140"/>
      <c r="I390" s="141"/>
      <c r="J390" s="142"/>
      <c r="K390" s="142"/>
    </row>
    <row r="391" spans="1:11" s="139" customFormat="1" ht="33.75" customHeight="1">
      <c r="A391" s="355">
        <v>174</v>
      </c>
      <c r="B391" s="285">
        <v>731000000</v>
      </c>
      <c r="C391" s="236" t="s">
        <v>610</v>
      </c>
      <c r="D391" s="227" t="s">
        <v>83</v>
      </c>
      <c r="E391" s="229">
        <v>160</v>
      </c>
      <c r="F391" s="283"/>
      <c r="G391" s="229">
        <f>E391*F391</f>
        <v>0</v>
      </c>
      <c r="H391" s="136"/>
      <c r="I391" s="137"/>
      <c r="J391" s="138"/>
      <c r="K391" s="138"/>
    </row>
    <row r="392" spans="1:11" s="147" customFormat="1" ht="12" customHeight="1">
      <c r="A392" s="230"/>
      <c r="B392" s="231" t="s">
        <v>62</v>
      </c>
      <c r="C392" s="231" t="str">
        <f>CONCATENATE(B390," ",C390)</f>
        <v>731 Ústřední vytápění</v>
      </c>
      <c r="D392" s="231"/>
      <c r="E392" s="233"/>
      <c r="F392" s="356"/>
      <c r="G392" s="314">
        <f>SUM(G390:G391)</f>
        <v>0</v>
      </c>
      <c r="H392" s="144"/>
      <c r="I392" s="145"/>
      <c r="J392" s="146"/>
      <c r="K392" s="146"/>
    </row>
    <row r="393" spans="1:11" s="143" customFormat="1" ht="12" customHeight="1">
      <c r="A393" s="220" t="s">
        <v>61</v>
      </c>
      <c r="B393" s="280">
        <v>764</v>
      </c>
      <c r="C393" s="220" t="s">
        <v>86</v>
      </c>
      <c r="D393" s="222"/>
      <c r="E393" s="223"/>
      <c r="F393" s="281"/>
      <c r="G393" s="281"/>
      <c r="H393" s="140"/>
      <c r="I393" s="141"/>
      <c r="J393" s="142"/>
      <c r="K393" s="142"/>
    </row>
    <row r="394" spans="1:11" s="272" customFormat="1" ht="22.5" customHeight="1">
      <c r="A394" s="266"/>
      <c r="B394" s="301"/>
      <c r="C394" s="303" t="s">
        <v>375</v>
      </c>
      <c r="D394" s="266"/>
      <c r="E394" s="268"/>
      <c r="F394" s="302"/>
      <c r="G394" s="302"/>
      <c r="H394" s="269"/>
      <c r="I394" s="270"/>
      <c r="J394" s="271"/>
      <c r="K394" s="271"/>
    </row>
    <row r="395" spans="1:11" s="190" customFormat="1" ht="33.75" customHeight="1">
      <c r="A395" s="297">
        <v>175</v>
      </c>
      <c r="B395" s="298">
        <v>764920000</v>
      </c>
      <c r="C395" s="250" t="s">
        <v>376</v>
      </c>
      <c r="D395" s="247" t="s">
        <v>83</v>
      </c>
      <c r="E395" s="249">
        <v>26</v>
      </c>
      <c r="F395" s="294"/>
      <c r="G395" s="294">
        <f>E395*F395</f>
        <v>0</v>
      </c>
      <c r="H395" s="187"/>
      <c r="I395" s="188"/>
      <c r="J395" s="189"/>
      <c r="K395" s="189"/>
    </row>
    <row r="396" spans="1:11" s="190" customFormat="1" ht="33.75" customHeight="1">
      <c r="A396" s="297">
        <v>176</v>
      </c>
      <c r="B396" s="298">
        <v>764920001</v>
      </c>
      <c r="C396" s="250" t="s">
        <v>377</v>
      </c>
      <c r="D396" s="247" t="s">
        <v>83</v>
      </c>
      <c r="E396" s="249">
        <v>12</v>
      </c>
      <c r="F396" s="294"/>
      <c r="G396" s="294">
        <f aca="true" t="shared" si="4" ref="G396:G423">E396*F396</f>
        <v>0</v>
      </c>
      <c r="H396" s="187"/>
      <c r="I396" s="188"/>
      <c r="J396" s="189"/>
      <c r="K396" s="189"/>
    </row>
    <row r="397" spans="1:11" s="190" customFormat="1" ht="33.75" customHeight="1">
      <c r="A397" s="297">
        <v>177</v>
      </c>
      <c r="B397" s="298">
        <v>764920002</v>
      </c>
      <c r="C397" s="250" t="s">
        <v>378</v>
      </c>
      <c r="D397" s="247" t="s">
        <v>83</v>
      </c>
      <c r="E397" s="249">
        <v>1</v>
      </c>
      <c r="F397" s="294"/>
      <c r="G397" s="294">
        <f t="shared" si="4"/>
        <v>0</v>
      </c>
      <c r="H397" s="187"/>
      <c r="I397" s="188"/>
      <c r="J397" s="189"/>
      <c r="K397" s="189"/>
    </row>
    <row r="398" spans="1:11" s="190" customFormat="1" ht="33.75" customHeight="1">
      <c r="A398" s="297">
        <v>178</v>
      </c>
      <c r="B398" s="298">
        <v>764920003</v>
      </c>
      <c r="C398" s="250" t="s">
        <v>379</v>
      </c>
      <c r="D398" s="247" t="s">
        <v>83</v>
      </c>
      <c r="E398" s="249">
        <v>10</v>
      </c>
      <c r="F398" s="294"/>
      <c r="G398" s="294">
        <f t="shared" si="4"/>
        <v>0</v>
      </c>
      <c r="H398" s="187"/>
      <c r="I398" s="188"/>
      <c r="J398" s="189"/>
      <c r="K398" s="189"/>
    </row>
    <row r="399" spans="1:11" s="190" customFormat="1" ht="33.75" customHeight="1">
      <c r="A399" s="297">
        <v>179</v>
      </c>
      <c r="B399" s="298">
        <v>764920004</v>
      </c>
      <c r="C399" s="250" t="s">
        <v>380</v>
      </c>
      <c r="D399" s="247" t="s">
        <v>83</v>
      </c>
      <c r="E399" s="249">
        <v>1</v>
      </c>
      <c r="F399" s="294"/>
      <c r="G399" s="294">
        <f t="shared" si="4"/>
        <v>0</v>
      </c>
      <c r="H399" s="187"/>
      <c r="I399" s="188"/>
      <c r="J399" s="189"/>
      <c r="K399" s="189"/>
    </row>
    <row r="400" spans="1:11" s="190" customFormat="1" ht="33.75" customHeight="1">
      <c r="A400" s="297">
        <v>180</v>
      </c>
      <c r="B400" s="298">
        <v>764920005</v>
      </c>
      <c r="C400" s="250" t="s">
        <v>381</v>
      </c>
      <c r="D400" s="247" t="s">
        <v>83</v>
      </c>
      <c r="E400" s="249">
        <v>1</v>
      </c>
      <c r="F400" s="294"/>
      <c r="G400" s="294">
        <f t="shared" si="4"/>
        <v>0</v>
      </c>
      <c r="H400" s="187"/>
      <c r="I400" s="188"/>
      <c r="J400" s="189"/>
      <c r="K400" s="189"/>
    </row>
    <row r="401" spans="1:11" s="190" customFormat="1" ht="33.75" customHeight="1">
      <c r="A401" s="297">
        <v>181</v>
      </c>
      <c r="B401" s="298">
        <v>764920006</v>
      </c>
      <c r="C401" s="250" t="s">
        <v>382</v>
      </c>
      <c r="D401" s="247" t="s">
        <v>83</v>
      </c>
      <c r="E401" s="249">
        <v>1</v>
      </c>
      <c r="F401" s="294"/>
      <c r="G401" s="294">
        <f t="shared" si="4"/>
        <v>0</v>
      </c>
      <c r="H401" s="187"/>
      <c r="I401" s="188"/>
      <c r="J401" s="189"/>
      <c r="K401" s="189"/>
    </row>
    <row r="402" spans="1:11" s="190" customFormat="1" ht="33.75" customHeight="1">
      <c r="A402" s="297">
        <v>182</v>
      </c>
      <c r="B402" s="298">
        <v>764920007</v>
      </c>
      <c r="C402" s="250" t="s">
        <v>383</v>
      </c>
      <c r="D402" s="247" t="s">
        <v>80</v>
      </c>
      <c r="E402" s="249">
        <v>140</v>
      </c>
      <c r="F402" s="294"/>
      <c r="G402" s="294">
        <f t="shared" si="4"/>
        <v>0</v>
      </c>
      <c r="H402" s="187"/>
      <c r="I402" s="188"/>
      <c r="J402" s="189"/>
      <c r="K402" s="189"/>
    </row>
    <row r="403" spans="1:11" s="190" customFormat="1" ht="33.75" customHeight="1">
      <c r="A403" s="297">
        <v>183</v>
      </c>
      <c r="B403" s="298">
        <v>764920008</v>
      </c>
      <c r="C403" s="250" t="s">
        <v>384</v>
      </c>
      <c r="D403" s="247" t="s">
        <v>80</v>
      </c>
      <c r="E403" s="249">
        <v>90</v>
      </c>
      <c r="F403" s="294"/>
      <c r="G403" s="294">
        <f t="shared" si="4"/>
        <v>0</v>
      </c>
      <c r="H403" s="187"/>
      <c r="I403" s="188"/>
      <c r="J403" s="189"/>
      <c r="K403" s="189"/>
    </row>
    <row r="404" spans="1:11" s="190" customFormat="1" ht="33.75" customHeight="1">
      <c r="A404" s="297">
        <v>184</v>
      </c>
      <c r="B404" s="298">
        <v>764920009</v>
      </c>
      <c r="C404" s="250" t="s">
        <v>385</v>
      </c>
      <c r="D404" s="247" t="s">
        <v>80</v>
      </c>
      <c r="E404" s="249">
        <v>56</v>
      </c>
      <c r="F404" s="294"/>
      <c r="G404" s="294">
        <f t="shared" si="4"/>
        <v>0</v>
      </c>
      <c r="H404" s="187"/>
      <c r="I404" s="188"/>
      <c r="J404" s="189"/>
      <c r="K404" s="189"/>
    </row>
    <row r="405" spans="1:11" s="190" customFormat="1" ht="33.75" customHeight="1">
      <c r="A405" s="297">
        <v>185</v>
      </c>
      <c r="B405" s="298">
        <v>764920010</v>
      </c>
      <c r="C405" s="250" t="s">
        <v>386</v>
      </c>
      <c r="D405" s="247" t="s">
        <v>80</v>
      </c>
      <c r="E405" s="249">
        <v>15</v>
      </c>
      <c r="F405" s="294"/>
      <c r="G405" s="294">
        <f t="shared" si="4"/>
        <v>0</v>
      </c>
      <c r="H405" s="187"/>
      <c r="I405" s="188"/>
      <c r="J405" s="189"/>
      <c r="K405" s="189"/>
    </row>
    <row r="406" spans="1:11" s="190" customFormat="1" ht="33.75" customHeight="1">
      <c r="A406" s="297">
        <v>186</v>
      </c>
      <c r="B406" s="298">
        <v>764920011</v>
      </c>
      <c r="C406" s="250" t="s">
        <v>387</v>
      </c>
      <c r="D406" s="247" t="s">
        <v>80</v>
      </c>
      <c r="E406" s="249">
        <v>70</v>
      </c>
      <c r="F406" s="294"/>
      <c r="G406" s="294">
        <f t="shared" si="4"/>
        <v>0</v>
      </c>
      <c r="H406" s="187"/>
      <c r="I406" s="188"/>
      <c r="J406" s="189"/>
      <c r="K406" s="189"/>
    </row>
    <row r="407" spans="1:11" s="190" customFormat="1" ht="33.75" customHeight="1">
      <c r="A407" s="297">
        <v>187</v>
      </c>
      <c r="B407" s="298">
        <v>764920012</v>
      </c>
      <c r="C407" s="250" t="s">
        <v>388</v>
      </c>
      <c r="D407" s="247" t="s">
        <v>83</v>
      </c>
      <c r="E407" s="249">
        <v>10</v>
      </c>
      <c r="F407" s="294"/>
      <c r="G407" s="294">
        <f t="shared" si="4"/>
        <v>0</v>
      </c>
      <c r="H407" s="187"/>
      <c r="I407" s="188"/>
      <c r="J407" s="189"/>
      <c r="K407" s="189"/>
    </row>
    <row r="408" spans="1:11" s="190" customFormat="1" ht="33.75" customHeight="1">
      <c r="A408" s="297">
        <v>188</v>
      </c>
      <c r="B408" s="298">
        <v>764920013</v>
      </c>
      <c r="C408" s="250" t="s">
        <v>389</v>
      </c>
      <c r="D408" s="247" t="s">
        <v>80</v>
      </c>
      <c r="E408" s="249">
        <v>45</v>
      </c>
      <c r="F408" s="294"/>
      <c r="G408" s="294">
        <f t="shared" si="4"/>
        <v>0</v>
      </c>
      <c r="H408" s="187"/>
      <c r="I408" s="188"/>
      <c r="J408" s="189"/>
      <c r="K408" s="189"/>
    </row>
    <row r="409" spans="1:11" s="190" customFormat="1" ht="33.75" customHeight="1">
      <c r="A409" s="297">
        <v>189</v>
      </c>
      <c r="B409" s="298">
        <v>764920014</v>
      </c>
      <c r="C409" s="250" t="s">
        <v>390</v>
      </c>
      <c r="D409" s="247" t="s">
        <v>83</v>
      </c>
      <c r="E409" s="249">
        <v>1</v>
      </c>
      <c r="F409" s="294"/>
      <c r="G409" s="294">
        <f t="shared" si="4"/>
        <v>0</v>
      </c>
      <c r="H409" s="187"/>
      <c r="I409" s="188"/>
      <c r="J409" s="189"/>
      <c r="K409" s="189"/>
    </row>
    <row r="410" spans="1:11" s="190" customFormat="1" ht="45" customHeight="1">
      <c r="A410" s="297">
        <v>190</v>
      </c>
      <c r="B410" s="298">
        <v>764920015</v>
      </c>
      <c r="C410" s="250" t="s">
        <v>391</v>
      </c>
      <c r="D410" s="247" t="s">
        <v>83</v>
      </c>
      <c r="E410" s="249">
        <v>1</v>
      </c>
      <c r="F410" s="294"/>
      <c r="G410" s="294">
        <f t="shared" si="4"/>
        <v>0</v>
      </c>
      <c r="H410" s="187"/>
      <c r="I410" s="188"/>
      <c r="J410" s="189"/>
      <c r="K410" s="189"/>
    </row>
    <row r="411" spans="1:11" s="190" customFormat="1" ht="22.5" customHeight="1">
      <c r="A411" s="297">
        <v>191</v>
      </c>
      <c r="B411" s="298">
        <v>764920016</v>
      </c>
      <c r="C411" s="250" t="s">
        <v>392</v>
      </c>
      <c r="D411" s="247" t="s">
        <v>80</v>
      </c>
      <c r="E411" s="249">
        <v>80</v>
      </c>
      <c r="F411" s="294"/>
      <c r="G411" s="294">
        <f t="shared" si="4"/>
        <v>0</v>
      </c>
      <c r="H411" s="187"/>
      <c r="I411" s="188"/>
      <c r="J411" s="189"/>
      <c r="K411" s="189"/>
    </row>
    <row r="412" spans="1:11" s="190" customFormat="1" ht="33.75" customHeight="1">
      <c r="A412" s="297">
        <v>192</v>
      </c>
      <c r="B412" s="298">
        <v>764920017</v>
      </c>
      <c r="C412" s="250" t="s">
        <v>393</v>
      </c>
      <c r="D412" s="247" t="s">
        <v>63</v>
      </c>
      <c r="E412" s="249">
        <v>8</v>
      </c>
      <c r="F412" s="294"/>
      <c r="G412" s="294">
        <f t="shared" si="4"/>
        <v>0</v>
      </c>
      <c r="H412" s="187"/>
      <c r="I412" s="188"/>
      <c r="J412" s="189"/>
      <c r="K412" s="189"/>
    </row>
    <row r="413" spans="1:11" s="190" customFormat="1" ht="33.75" customHeight="1">
      <c r="A413" s="297">
        <v>193</v>
      </c>
      <c r="B413" s="298">
        <v>764920018</v>
      </c>
      <c r="C413" s="250" t="s">
        <v>394</v>
      </c>
      <c r="D413" s="247" t="s">
        <v>83</v>
      </c>
      <c r="E413" s="249">
        <v>1</v>
      </c>
      <c r="F413" s="294"/>
      <c r="G413" s="294">
        <f t="shared" si="4"/>
        <v>0</v>
      </c>
      <c r="H413" s="187"/>
      <c r="I413" s="188"/>
      <c r="J413" s="189"/>
      <c r="K413" s="189"/>
    </row>
    <row r="414" spans="1:11" s="190" customFormat="1" ht="33.75" customHeight="1">
      <c r="A414" s="297">
        <v>194</v>
      </c>
      <c r="B414" s="298">
        <v>764920019</v>
      </c>
      <c r="C414" s="250" t="s">
        <v>395</v>
      </c>
      <c r="D414" s="247" t="s">
        <v>83</v>
      </c>
      <c r="E414" s="249">
        <v>3</v>
      </c>
      <c r="F414" s="294"/>
      <c r="G414" s="294">
        <f t="shared" si="4"/>
        <v>0</v>
      </c>
      <c r="H414" s="187"/>
      <c r="I414" s="188"/>
      <c r="J414" s="189"/>
      <c r="K414" s="189"/>
    </row>
    <row r="415" spans="1:11" s="190" customFormat="1" ht="33.75" customHeight="1">
      <c r="A415" s="297">
        <v>195</v>
      </c>
      <c r="B415" s="298">
        <v>764920020</v>
      </c>
      <c r="C415" s="250" t="s">
        <v>396</v>
      </c>
      <c r="D415" s="247" t="s">
        <v>83</v>
      </c>
      <c r="E415" s="249">
        <v>12</v>
      </c>
      <c r="F415" s="294"/>
      <c r="G415" s="294">
        <f t="shared" si="4"/>
        <v>0</v>
      </c>
      <c r="H415" s="187"/>
      <c r="I415" s="188"/>
      <c r="J415" s="189"/>
      <c r="K415" s="189"/>
    </row>
    <row r="416" spans="1:11" s="190" customFormat="1" ht="33.75" customHeight="1">
      <c r="A416" s="297">
        <v>196</v>
      </c>
      <c r="B416" s="298">
        <v>764920021</v>
      </c>
      <c r="C416" s="250" t="s">
        <v>397</v>
      </c>
      <c r="D416" s="247" t="s">
        <v>83</v>
      </c>
      <c r="E416" s="249">
        <v>2</v>
      </c>
      <c r="F416" s="294"/>
      <c r="G416" s="294">
        <f t="shared" si="4"/>
        <v>0</v>
      </c>
      <c r="H416" s="187"/>
      <c r="I416" s="188"/>
      <c r="J416" s="189"/>
      <c r="K416" s="189"/>
    </row>
    <row r="417" spans="1:11" s="190" customFormat="1" ht="33.75" customHeight="1">
      <c r="A417" s="297">
        <v>197</v>
      </c>
      <c r="B417" s="298">
        <v>764920022</v>
      </c>
      <c r="C417" s="250" t="s">
        <v>398</v>
      </c>
      <c r="D417" s="247" t="s">
        <v>80</v>
      </c>
      <c r="E417" s="249">
        <v>1.4</v>
      </c>
      <c r="F417" s="294"/>
      <c r="G417" s="294">
        <f t="shared" si="4"/>
        <v>0</v>
      </c>
      <c r="H417" s="187"/>
      <c r="I417" s="188"/>
      <c r="J417" s="189"/>
      <c r="K417" s="189"/>
    </row>
    <row r="418" spans="1:11" s="190" customFormat="1" ht="33.75" customHeight="1">
      <c r="A418" s="297">
        <v>198</v>
      </c>
      <c r="B418" s="298">
        <v>764920023</v>
      </c>
      <c r="C418" s="250" t="s">
        <v>399</v>
      </c>
      <c r="D418" s="247" t="s">
        <v>83</v>
      </c>
      <c r="E418" s="249">
        <v>1</v>
      </c>
      <c r="F418" s="294"/>
      <c r="G418" s="294">
        <f t="shared" si="4"/>
        <v>0</v>
      </c>
      <c r="H418" s="187"/>
      <c r="I418" s="188"/>
      <c r="J418" s="189"/>
      <c r="K418" s="189"/>
    </row>
    <row r="419" spans="1:11" s="190" customFormat="1" ht="33.75" customHeight="1">
      <c r="A419" s="297">
        <v>199</v>
      </c>
      <c r="B419" s="298">
        <v>764920024</v>
      </c>
      <c r="C419" s="250" t="s">
        <v>400</v>
      </c>
      <c r="D419" s="247" t="s">
        <v>83</v>
      </c>
      <c r="E419" s="249">
        <v>1</v>
      </c>
      <c r="F419" s="294"/>
      <c r="G419" s="294">
        <f t="shared" si="4"/>
        <v>0</v>
      </c>
      <c r="H419" s="187"/>
      <c r="I419" s="188"/>
      <c r="J419" s="189"/>
      <c r="K419" s="189"/>
    </row>
    <row r="420" spans="1:11" s="190" customFormat="1" ht="33.75" customHeight="1">
      <c r="A420" s="297">
        <v>200</v>
      </c>
      <c r="B420" s="298">
        <v>764920025</v>
      </c>
      <c r="C420" s="250" t="s">
        <v>401</v>
      </c>
      <c r="D420" s="247" t="s">
        <v>83</v>
      </c>
      <c r="E420" s="249">
        <v>1</v>
      </c>
      <c r="F420" s="294"/>
      <c r="G420" s="294">
        <f t="shared" si="4"/>
        <v>0</v>
      </c>
      <c r="H420" s="187"/>
      <c r="I420" s="188"/>
      <c r="J420" s="189"/>
      <c r="K420" s="189"/>
    </row>
    <row r="421" spans="1:11" s="190" customFormat="1" ht="33.75" customHeight="1">
      <c r="A421" s="297">
        <v>201</v>
      </c>
      <c r="B421" s="298">
        <v>764920026</v>
      </c>
      <c r="C421" s="250" t="s">
        <v>402</v>
      </c>
      <c r="D421" s="247" t="s">
        <v>80</v>
      </c>
      <c r="E421" s="249">
        <v>50</v>
      </c>
      <c r="F421" s="294"/>
      <c r="G421" s="294">
        <f t="shared" si="4"/>
        <v>0</v>
      </c>
      <c r="H421" s="187"/>
      <c r="I421" s="188"/>
      <c r="J421" s="189"/>
      <c r="K421" s="189"/>
    </row>
    <row r="422" spans="1:11" s="190" customFormat="1" ht="22.5" customHeight="1">
      <c r="A422" s="297">
        <v>202</v>
      </c>
      <c r="B422" s="298">
        <v>764990000</v>
      </c>
      <c r="C422" s="250" t="s">
        <v>444</v>
      </c>
      <c r="D422" s="247" t="s">
        <v>94</v>
      </c>
      <c r="E422" s="249">
        <v>1</v>
      </c>
      <c r="F422" s="294"/>
      <c r="G422" s="294">
        <f t="shared" si="4"/>
        <v>0</v>
      </c>
      <c r="H422" s="187"/>
      <c r="I422" s="188"/>
      <c r="J422" s="189"/>
      <c r="K422" s="189"/>
    </row>
    <row r="423" spans="1:11" s="190" customFormat="1" ht="33.75" customHeight="1">
      <c r="A423" s="297">
        <v>203</v>
      </c>
      <c r="B423" s="298">
        <v>764990001</v>
      </c>
      <c r="C423" s="250" t="s">
        <v>565</v>
      </c>
      <c r="D423" s="247" t="s">
        <v>80</v>
      </c>
      <c r="E423" s="249">
        <v>131.9</v>
      </c>
      <c r="F423" s="294"/>
      <c r="G423" s="294">
        <f t="shared" si="4"/>
        <v>0</v>
      </c>
      <c r="H423" s="187"/>
      <c r="I423" s="188"/>
      <c r="J423" s="189"/>
      <c r="K423" s="189"/>
    </row>
    <row r="424" spans="1:11" s="147" customFormat="1" ht="12" customHeight="1">
      <c r="A424" s="230"/>
      <c r="B424" s="231" t="s">
        <v>62</v>
      </c>
      <c r="C424" s="231" t="str">
        <f>CONCATENATE(B393," ",C393)</f>
        <v>764 Klempířské práce</v>
      </c>
      <c r="D424" s="231"/>
      <c r="E424" s="284"/>
      <c r="F424" s="231"/>
      <c r="G424" s="314">
        <f>SUM(G393:G423)</f>
        <v>0</v>
      </c>
      <c r="H424" s="144"/>
      <c r="I424" s="145"/>
      <c r="J424" s="146"/>
      <c r="K424" s="146"/>
    </row>
    <row r="425" spans="1:11" s="143" customFormat="1" ht="12">
      <c r="A425" s="220" t="s">
        <v>61</v>
      </c>
      <c r="B425" s="280">
        <v>766</v>
      </c>
      <c r="C425" s="220" t="s">
        <v>85</v>
      </c>
      <c r="D425" s="222"/>
      <c r="E425" s="223"/>
      <c r="F425" s="281"/>
      <c r="G425" s="281"/>
      <c r="H425" s="140"/>
      <c r="I425" s="141"/>
      <c r="J425" s="142"/>
      <c r="K425" s="142"/>
    </row>
    <row r="426" spans="1:11" s="139" customFormat="1" ht="22.5" customHeight="1">
      <c r="A426" s="355">
        <v>204</v>
      </c>
      <c r="B426" s="285">
        <v>766410000</v>
      </c>
      <c r="C426" s="236" t="s">
        <v>618</v>
      </c>
      <c r="D426" s="227" t="s">
        <v>63</v>
      </c>
      <c r="E426" s="229">
        <f>SUM(E427)</f>
        <v>50</v>
      </c>
      <c r="F426" s="283"/>
      <c r="G426" s="283">
        <f>E426*F426</f>
        <v>0</v>
      </c>
      <c r="H426" s="136"/>
      <c r="I426" s="137"/>
      <c r="J426" s="138"/>
      <c r="K426" s="138"/>
    </row>
    <row r="427" spans="1:11" s="195" customFormat="1" ht="11.25" customHeight="1">
      <c r="A427" s="240"/>
      <c r="B427" s="286"/>
      <c r="C427" s="238" t="s">
        <v>614</v>
      </c>
      <c r="D427" s="240"/>
      <c r="E427" s="242">
        <f>50</f>
        <v>50</v>
      </c>
      <c r="F427" s="287"/>
      <c r="G427" s="287"/>
      <c r="H427" s="192"/>
      <c r="I427" s="193"/>
      <c r="J427" s="194"/>
      <c r="K427" s="194"/>
    </row>
    <row r="428" spans="1:11" s="139" customFormat="1" ht="11.25" customHeight="1">
      <c r="A428" s="227">
        <v>205</v>
      </c>
      <c r="B428" s="282" t="s">
        <v>371</v>
      </c>
      <c r="C428" s="224" t="s">
        <v>372</v>
      </c>
      <c r="D428" s="227" t="s">
        <v>83</v>
      </c>
      <c r="E428" s="229">
        <f>SUM(E429)</f>
        <v>1</v>
      </c>
      <c r="F428" s="283"/>
      <c r="G428" s="283">
        <f>E428*F428</f>
        <v>0</v>
      </c>
      <c r="H428" s="136"/>
      <c r="I428" s="137"/>
      <c r="J428" s="138"/>
      <c r="K428" s="138"/>
    </row>
    <row r="429" spans="1:11" s="195" customFormat="1" ht="11.25" customHeight="1">
      <c r="A429" s="240"/>
      <c r="B429" s="286"/>
      <c r="C429" s="238" t="s">
        <v>373</v>
      </c>
      <c r="D429" s="240"/>
      <c r="E429" s="242">
        <f>1</f>
        <v>1</v>
      </c>
      <c r="F429" s="287"/>
      <c r="G429" s="287"/>
      <c r="H429" s="192"/>
      <c r="I429" s="193"/>
      <c r="J429" s="194"/>
      <c r="K429" s="194"/>
    </row>
    <row r="430" spans="1:11" s="139" customFormat="1" ht="22.5" customHeight="1">
      <c r="A430" s="355">
        <v>206</v>
      </c>
      <c r="B430" s="285">
        <v>61187000</v>
      </c>
      <c r="C430" s="236" t="s">
        <v>374</v>
      </c>
      <c r="D430" s="227" t="s">
        <v>83</v>
      </c>
      <c r="E430" s="229">
        <v>1</v>
      </c>
      <c r="F430" s="283"/>
      <c r="G430" s="283">
        <f>E430*F430</f>
        <v>0</v>
      </c>
      <c r="H430" s="136"/>
      <c r="I430" s="137"/>
      <c r="J430" s="138"/>
      <c r="K430" s="138"/>
    </row>
    <row r="431" spans="1:11" s="147" customFormat="1" ht="12">
      <c r="A431" s="230"/>
      <c r="B431" s="231" t="s">
        <v>62</v>
      </c>
      <c r="C431" s="231" t="str">
        <f>CONCATENATE(B425," ",C425)</f>
        <v>766 Konstrukce truhlářské</v>
      </c>
      <c r="D431" s="231"/>
      <c r="E431" s="284"/>
      <c r="F431" s="231"/>
      <c r="G431" s="234">
        <f>SUM(G425:G430)</f>
        <v>0</v>
      </c>
      <c r="H431" s="144"/>
      <c r="I431" s="145"/>
      <c r="J431" s="146"/>
      <c r="K431" s="146"/>
    </row>
    <row r="432" spans="1:11" s="171" customFormat="1" ht="12">
      <c r="A432" s="220" t="s">
        <v>61</v>
      </c>
      <c r="B432" s="280">
        <v>767</v>
      </c>
      <c r="C432" s="220" t="s">
        <v>84</v>
      </c>
      <c r="D432" s="222"/>
      <c r="E432" s="223"/>
      <c r="F432" s="281"/>
      <c r="G432" s="281"/>
      <c r="H432" s="168"/>
      <c r="I432" s="169"/>
      <c r="J432" s="170"/>
      <c r="K432" s="170"/>
    </row>
    <row r="433" spans="1:11" s="175" customFormat="1" ht="45" customHeight="1">
      <c r="A433" s="227"/>
      <c r="B433" s="282"/>
      <c r="C433" s="265" t="s">
        <v>626</v>
      </c>
      <c r="D433" s="227"/>
      <c r="E433" s="229"/>
      <c r="F433" s="283"/>
      <c r="G433" s="283"/>
      <c r="H433" s="172"/>
      <c r="I433" s="173"/>
      <c r="J433" s="174"/>
      <c r="K433" s="174"/>
    </row>
    <row r="434" spans="1:11" s="175" customFormat="1" ht="22.5" customHeight="1">
      <c r="A434" s="355">
        <v>207</v>
      </c>
      <c r="B434" s="285">
        <v>767130000</v>
      </c>
      <c r="C434" s="255" t="s">
        <v>587</v>
      </c>
      <c r="D434" s="227" t="s">
        <v>63</v>
      </c>
      <c r="E434" s="229">
        <f>SUM(E435)</f>
        <v>3.9765</v>
      </c>
      <c r="F434" s="283"/>
      <c r="G434" s="283">
        <f>E434*F434</f>
        <v>0</v>
      </c>
      <c r="H434" s="172"/>
      <c r="I434" s="173"/>
      <c r="J434" s="174"/>
      <c r="K434" s="174"/>
    </row>
    <row r="435" spans="1:11" s="215" customFormat="1" ht="11.25" customHeight="1">
      <c r="A435" s="240"/>
      <c r="B435" s="286"/>
      <c r="C435" s="191" t="s">
        <v>611</v>
      </c>
      <c r="D435" s="240"/>
      <c r="E435" s="242">
        <f>1.205*3.3</f>
        <v>3.9765</v>
      </c>
      <c r="F435" s="287"/>
      <c r="G435" s="287"/>
      <c r="H435" s="212"/>
      <c r="I435" s="213"/>
      <c r="J435" s="214"/>
      <c r="K435" s="214"/>
    </row>
    <row r="436" spans="1:11" s="175" customFormat="1" ht="33.75" customHeight="1">
      <c r="A436" s="355">
        <v>208</v>
      </c>
      <c r="B436" s="285">
        <v>767210000</v>
      </c>
      <c r="C436" s="255" t="s">
        <v>250</v>
      </c>
      <c r="D436" s="227" t="s">
        <v>83</v>
      </c>
      <c r="E436" s="229">
        <v>1</v>
      </c>
      <c r="F436" s="283"/>
      <c r="G436" s="283">
        <f>E436*F436</f>
        <v>0</v>
      </c>
      <c r="H436" s="172"/>
      <c r="I436" s="173"/>
      <c r="J436" s="174"/>
      <c r="K436" s="174"/>
    </row>
    <row r="437" spans="1:11" s="175" customFormat="1" ht="45" customHeight="1">
      <c r="A437" s="355">
        <v>209</v>
      </c>
      <c r="B437" s="285">
        <v>767310000</v>
      </c>
      <c r="C437" s="255" t="s">
        <v>629</v>
      </c>
      <c r="D437" s="227" t="s">
        <v>83</v>
      </c>
      <c r="E437" s="229">
        <v>1</v>
      </c>
      <c r="F437" s="283"/>
      <c r="G437" s="283">
        <f>E437*F437</f>
        <v>0</v>
      </c>
      <c r="H437" s="172"/>
      <c r="I437" s="173"/>
      <c r="J437" s="174"/>
      <c r="K437" s="174"/>
    </row>
    <row r="438" spans="1:11" s="175" customFormat="1" ht="45" customHeight="1">
      <c r="A438" s="355">
        <v>210</v>
      </c>
      <c r="B438" s="285">
        <v>767610000</v>
      </c>
      <c r="C438" s="255" t="s">
        <v>307</v>
      </c>
      <c r="D438" s="227" t="s">
        <v>83</v>
      </c>
      <c r="E438" s="229">
        <v>1</v>
      </c>
      <c r="F438" s="283"/>
      <c r="G438" s="283">
        <f aca="true" t="shared" si="5" ref="G438:G459">E438*F438</f>
        <v>0</v>
      </c>
      <c r="H438" s="172"/>
      <c r="I438" s="173"/>
      <c r="J438" s="174"/>
      <c r="K438" s="174"/>
    </row>
    <row r="439" spans="1:11" s="175" customFormat="1" ht="45" customHeight="1">
      <c r="A439" s="355">
        <v>211</v>
      </c>
      <c r="B439" s="285">
        <v>767610001</v>
      </c>
      <c r="C439" s="255" t="s">
        <v>308</v>
      </c>
      <c r="D439" s="227" t="s">
        <v>83</v>
      </c>
      <c r="E439" s="229">
        <v>1</v>
      </c>
      <c r="F439" s="283"/>
      <c r="G439" s="283">
        <f t="shared" si="5"/>
        <v>0</v>
      </c>
      <c r="H439" s="172"/>
      <c r="I439" s="173"/>
      <c r="J439" s="174"/>
      <c r="K439" s="174"/>
    </row>
    <row r="440" spans="1:11" s="175" customFormat="1" ht="33.75" customHeight="1">
      <c r="A440" s="355">
        <v>212</v>
      </c>
      <c r="B440" s="285">
        <v>767640000</v>
      </c>
      <c r="C440" s="255" t="s">
        <v>309</v>
      </c>
      <c r="D440" s="227" t="s">
        <v>83</v>
      </c>
      <c r="E440" s="229">
        <v>1</v>
      </c>
      <c r="F440" s="283"/>
      <c r="G440" s="283">
        <f t="shared" si="5"/>
        <v>0</v>
      </c>
      <c r="H440" s="172"/>
      <c r="I440" s="173"/>
      <c r="J440" s="174"/>
      <c r="K440" s="174"/>
    </row>
    <row r="441" spans="1:11" s="175" customFormat="1" ht="45" customHeight="1">
      <c r="A441" s="355">
        <v>213</v>
      </c>
      <c r="B441" s="285">
        <v>767640001</v>
      </c>
      <c r="C441" s="255" t="s">
        <v>310</v>
      </c>
      <c r="D441" s="227" t="s">
        <v>83</v>
      </c>
      <c r="E441" s="229">
        <v>1</v>
      </c>
      <c r="F441" s="283"/>
      <c r="G441" s="283">
        <f t="shared" si="5"/>
        <v>0</v>
      </c>
      <c r="H441" s="172"/>
      <c r="I441" s="173"/>
      <c r="J441" s="174"/>
      <c r="K441" s="174"/>
    </row>
    <row r="442" spans="1:11" s="175" customFormat="1" ht="33.75" customHeight="1">
      <c r="A442" s="355">
        <v>214</v>
      </c>
      <c r="B442" s="285">
        <v>767660000</v>
      </c>
      <c r="C442" s="255" t="s">
        <v>242</v>
      </c>
      <c r="D442" s="227" t="s">
        <v>83</v>
      </c>
      <c r="E442" s="229">
        <v>2</v>
      </c>
      <c r="F442" s="283"/>
      <c r="G442" s="283">
        <f t="shared" si="5"/>
        <v>0</v>
      </c>
      <c r="H442" s="172"/>
      <c r="I442" s="173"/>
      <c r="J442" s="174"/>
      <c r="K442" s="174"/>
    </row>
    <row r="443" spans="1:11" s="175" customFormat="1" ht="33.75" customHeight="1">
      <c r="A443" s="355">
        <v>215</v>
      </c>
      <c r="B443" s="285">
        <v>767660001</v>
      </c>
      <c r="C443" s="255" t="s">
        <v>243</v>
      </c>
      <c r="D443" s="227" t="s">
        <v>83</v>
      </c>
      <c r="E443" s="229">
        <v>4</v>
      </c>
      <c r="F443" s="283"/>
      <c r="G443" s="283">
        <f t="shared" si="5"/>
        <v>0</v>
      </c>
      <c r="H443" s="172"/>
      <c r="I443" s="173"/>
      <c r="J443" s="174"/>
      <c r="K443" s="174"/>
    </row>
    <row r="444" spans="1:11" s="175" customFormat="1" ht="33.75" customHeight="1">
      <c r="A444" s="355">
        <v>216</v>
      </c>
      <c r="B444" s="285">
        <v>767660002</v>
      </c>
      <c r="C444" s="255" t="s">
        <v>244</v>
      </c>
      <c r="D444" s="227" t="s">
        <v>83</v>
      </c>
      <c r="E444" s="229">
        <v>1</v>
      </c>
      <c r="F444" s="283"/>
      <c r="G444" s="283">
        <f t="shared" si="5"/>
        <v>0</v>
      </c>
      <c r="H444" s="172"/>
      <c r="I444" s="173"/>
      <c r="J444" s="174"/>
      <c r="K444" s="174"/>
    </row>
    <row r="445" spans="1:11" s="175" customFormat="1" ht="33.75" customHeight="1">
      <c r="A445" s="355">
        <v>217</v>
      </c>
      <c r="B445" s="285">
        <v>767830000</v>
      </c>
      <c r="C445" s="255" t="s">
        <v>240</v>
      </c>
      <c r="D445" s="227" t="s">
        <v>83</v>
      </c>
      <c r="E445" s="229">
        <v>2</v>
      </c>
      <c r="F445" s="283"/>
      <c r="G445" s="283">
        <f t="shared" si="5"/>
        <v>0</v>
      </c>
      <c r="H445" s="172"/>
      <c r="I445" s="173"/>
      <c r="J445" s="174"/>
      <c r="K445" s="174"/>
    </row>
    <row r="446" spans="1:11" s="175" customFormat="1" ht="33.75" customHeight="1">
      <c r="A446" s="355">
        <v>218</v>
      </c>
      <c r="B446" s="285">
        <v>767830001</v>
      </c>
      <c r="C446" s="255" t="s">
        <v>241</v>
      </c>
      <c r="D446" s="227" t="s">
        <v>83</v>
      </c>
      <c r="E446" s="229">
        <v>1</v>
      </c>
      <c r="F446" s="283"/>
      <c r="G446" s="283">
        <f t="shared" si="5"/>
        <v>0</v>
      </c>
      <c r="H446" s="172"/>
      <c r="I446" s="173"/>
      <c r="J446" s="174"/>
      <c r="K446" s="174"/>
    </row>
    <row r="447" spans="1:11" s="175" customFormat="1" ht="33.75" customHeight="1">
      <c r="A447" s="355">
        <v>219</v>
      </c>
      <c r="B447" s="285">
        <v>767890000</v>
      </c>
      <c r="C447" s="255" t="s">
        <v>238</v>
      </c>
      <c r="D447" s="227" t="s">
        <v>94</v>
      </c>
      <c r="E447" s="229">
        <v>1</v>
      </c>
      <c r="F447" s="283"/>
      <c r="G447" s="283">
        <f t="shared" si="5"/>
        <v>0</v>
      </c>
      <c r="H447" s="172"/>
      <c r="I447" s="173"/>
      <c r="J447" s="174"/>
      <c r="K447" s="174"/>
    </row>
    <row r="448" spans="1:11" s="175" customFormat="1" ht="33.75" customHeight="1">
      <c r="A448" s="355">
        <v>220</v>
      </c>
      <c r="B448" s="285">
        <v>767890001</v>
      </c>
      <c r="C448" s="255" t="s">
        <v>239</v>
      </c>
      <c r="D448" s="227" t="s">
        <v>94</v>
      </c>
      <c r="E448" s="229">
        <v>1</v>
      </c>
      <c r="F448" s="283"/>
      <c r="G448" s="283">
        <f t="shared" si="5"/>
        <v>0</v>
      </c>
      <c r="H448" s="172"/>
      <c r="I448" s="173"/>
      <c r="J448" s="174"/>
      <c r="K448" s="174"/>
    </row>
    <row r="449" spans="1:11" s="175" customFormat="1" ht="33.75" customHeight="1">
      <c r="A449" s="355">
        <v>221</v>
      </c>
      <c r="B449" s="285">
        <v>767890002</v>
      </c>
      <c r="C449" s="255" t="s">
        <v>249</v>
      </c>
      <c r="D449" s="227" t="s">
        <v>94</v>
      </c>
      <c r="E449" s="229">
        <v>1</v>
      </c>
      <c r="F449" s="283"/>
      <c r="G449" s="283">
        <f t="shared" si="5"/>
        <v>0</v>
      </c>
      <c r="H449" s="172"/>
      <c r="I449" s="173"/>
      <c r="J449" s="174"/>
      <c r="K449" s="174"/>
    </row>
    <row r="450" spans="1:11" s="175" customFormat="1" ht="22.5" customHeight="1">
      <c r="A450" s="355">
        <v>222</v>
      </c>
      <c r="B450" s="285">
        <v>767890003</v>
      </c>
      <c r="C450" s="255" t="s">
        <v>245</v>
      </c>
      <c r="D450" s="227" t="s">
        <v>80</v>
      </c>
      <c r="E450" s="229">
        <v>30</v>
      </c>
      <c r="F450" s="283"/>
      <c r="G450" s="283">
        <f t="shared" si="5"/>
        <v>0</v>
      </c>
      <c r="H450" s="172"/>
      <c r="I450" s="173"/>
      <c r="J450" s="174"/>
      <c r="K450" s="174"/>
    </row>
    <row r="451" spans="1:11" s="175" customFormat="1" ht="22.5" customHeight="1">
      <c r="A451" s="355">
        <v>223</v>
      </c>
      <c r="B451" s="285">
        <v>767890004</v>
      </c>
      <c r="C451" s="255" t="s">
        <v>246</v>
      </c>
      <c r="D451" s="227" t="s">
        <v>83</v>
      </c>
      <c r="E451" s="229">
        <v>1</v>
      </c>
      <c r="F451" s="283"/>
      <c r="G451" s="283">
        <f t="shared" si="5"/>
        <v>0</v>
      </c>
      <c r="H451" s="172"/>
      <c r="I451" s="173"/>
      <c r="J451" s="174"/>
      <c r="K451" s="174"/>
    </row>
    <row r="452" spans="1:11" s="175" customFormat="1" ht="22.5" customHeight="1">
      <c r="A452" s="355">
        <v>224</v>
      </c>
      <c r="B452" s="285">
        <v>767890005</v>
      </c>
      <c r="C452" s="255" t="s">
        <v>247</v>
      </c>
      <c r="D452" s="227" t="s">
        <v>83</v>
      </c>
      <c r="E452" s="229">
        <v>2</v>
      </c>
      <c r="F452" s="283"/>
      <c r="G452" s="283">
        <f t="shared" si="5"/>
        <v>0</v>
      </c>
      <c r="H452" s="172"/>
      <c r="I452" s="173"/>
      <c r="J452" s="174"/>
      <c r="K452" s="174"/>
    </row>
    <row r="453" spans="1:11" s="175" customFormat="1" ht="22.5" customHeight="1">
      <c r="A453" s="355">
        <v>225</v>
      </c>
      <c r="B453" s="285">
        <v>767890006</v>
      </c>
      <c r="C453" s="255" t="s">
        <v>251</v>
      </c>
      <c r="D453" s="227" t="s">
        <v>83</v>
      </c>
      <c r="E453" s="229">
        <v>2</v>
      </c>
      <c r="F453" s="283"/>
      <c r="G453" s="283">
        <f t="shared" si="5"/>
        <v>0</v>
      </c>
      <c r="H453" s="172"/>
      <c r="I453" s="173"/>
      <c r="J453" s="174"/>
      <c r="K453" s="174"/>
    </row>
    <row r="454" spans="1:11" s="175" customFormat="1" ht="22.5" customHeight="1">
      <c r="A454" s="355">
        <v>226</v>
      </c>
      <c r="B454" s="285">
        <v>767890007</v>
      </c>
      <c r="C454" s="255" t="s">
        <v>253</v>
      </c>
      <c r="D454" s="227" t="s">
        <v>94</v>
      </c>
      <c r="E454" s="229">
        <v>1</v>
      </c>
      <c r="F454" s="283"/>
      <c r="G454" s="283">
        <f t="shared" si="5"/>
        <v>0</v>
      </c>
      <c r="H454" s="172"/>
      <c r="I454" s="173"/>
      <c r="J454" s="174"/>
      <c r="K454" s="174"/>
    </row>
    <row r="455" spans="1:11" s="175" customFormat="1" ht="33.75" customHeight="1">
      <c r="A455" s="355">
        <v>227</v>
      </c>
      <c r="B455" s="285">
        <v>767990000</v>
      </c>
      <c r="C455" s="255" t="s">
        <v>625</v>
      </c>
      <c r="D455" s="227" t="s">
        <v>94</v>
      </c>
      <c r="E455" s="229">
        <v>1</v>
      </c>
      <c r="F455" s="283"/>
      <c r="G455" s="283">
        <f t="shared" si="5"/>
        <v>0</v>
      </c>
      <c r="H455" s="172"/>
      <c r="I455" s="173"/>
      <c r="J455" s="174"/>
      <c r="K455" s="174"/>
    </row>
    <row r="456" spans="1:11" s="175" customFormat="1" ht="45" customHeight="1">
      <c r="A456" s="355">
        <v>228</v>
      </c>
      <c r="B456" s="285">
        <v>767990001</v>
      </c>
      <c r="C456" s="255" t="s">
        <v>688</v>
      </c>
      <c r="D456" s="227" t="s">
        <v>83</v>
      </c>
      <c r="E456" s="229">
        <v>2</v>
      </c>
      <c r="F456" s="283"/>
      <c r="G456" s="283">
        <f t="shared" si="5"/>
        <v>0</v>
      </c>
      <c r="H456" s="172"/>
      <c r="I456" s="173"/>
      <c r="J456" s="174"/>
      <c r="K456" s="174"/>
    </row>
    <row r="457" spans="1:11" s="175" customFormat="1" ht="33.75" customHeight="1">
      <c r="A457" s="355">
        <v>229</v>
      </c>
      <c r="B457" s="285">
        <v>767990002</v>
      </c>
      <c r="C457" s="255" t="s">
        <v>248</v>
      </c>
      <c r="D457" s="227" t="s">
        <v>83</v>
      </c>
      <c r="E457" s="229">
        <v>1</v>
      </c>
      <c r="F457" s="283"/>
      <c r="G457" s="283">
        <f t="shared" si="5"/>
        <v>0</v>
      </c>
      <c r="H457" s="172"/>
      <c r="I457" s="173"/>
      <c r="J457" s="174"/>
      <c r="K457" s="174"/>
    </row>
    <row r="458" spans="1:11" s="175" customFormat="1" ht="22.5" customHeight="1">
      <c r="A458" s="355">
        <v>230</v>
      </c>
      <c r="B458" s="285">
        <v>767990003</v>
      </c>
      <c r="C458" s="255" t="s">
        <v>252</v>
      </c>
      <c r="D458" s="227" t="s">
        <v>83</v>
      </c>
      <c r="E458" s="229">
        <v>2</v>
      </c>
      <c r="F458" s="283"/>
      <c r="G458" s="283">
        <f t="shared" si="5"/>
        <v>0</v>
      </c>
      <c r="H458" s="172"/>
      <c r="I458" s="173"/>
      <c r="J458" s="174"/>
      <c r="K458" s="174"/>
    </row>
    <row r="459" spans="1:11" s="175" customFormat="1" ht="22.5" customHeight="1">
      <c r="A459" s="355">
        <v>231</v>
      </c>
      <c r="B459" s="285">
        <v>767990004</v>
      </c>
      <c r="C459" s="255" t="s">
        <v>254</v>
      </c>
      <c r="D459" s="227" t="s">
        <v>83</v>
      </c>
      <c r="E459" s="229">
        <v>1</v>
      </c>
      <c r="F459" s="283"/>
      <c r="G459" s="283">
        <f t="shared" si="5"/>
        <v>0</v>
      </c>
      <c r="H459" s="172"/>
      <c r="I459" s="173"/>
      <c r="J459" s="174"/>
      <c r="K459" s="174"/>
    </row>
    <row r="460" spans="1:11" s="175" customFormat="1" ht="56.25" customHeight="1">
      <c r="A460" s="355">
        <v>232</v>
      </c>
      <c r="B460" s="285">
        <v>767990004</v>
      </c>
      <c r="C460" s="255" t="s">
        <v>809</v>
      </c>
      <c r="D460" s="227" t="s">
        <v>125</v>
      </c>
      <c r="E460" s="229">
        <f>SUM(E461:E463)</f>
        <v>17579.6</v>
      </c>
      <c r="F460" s="283"/>
      <c r="G460" s="283">
        <f>E460*F460</f>
        <v>0</v>
      </c>
      <c r="H460" s="172"/>
      <c r="I460" s="173"/>
      <c r="J460" s="174"/>
      <c r="K460" s="174"/>
    </row>
    <row r="461" spans="1:11" s="215" customFormat="1" ht="11.25" customHeight="1">
      <c r="A461" s="240"/>
      <c r="B461" s="286"/>
      <c r="C461" s="191" t="s">
        <v>255</v>
      </c>
      <c r="D461" s="240"/>
      <c r="E461" s="359">
        <f>6052.5</f>
        <v>6052.5</v>
      </c>
      <c r="F461" s="287"/>
      <c r="G461" s="287"/>
      <c r="H461" s="212"/>
      <c r="I461" s="213"/>
      <c r="J461" s="214"/>
      <c r="K461" s="214"/>
    </row>
    <row r="462" spans="1:11" s="215" customFormat="1" ht="11.25" customHeight="1">
      <c r="A462" s="240"/>
      <c r="B462" s="286"/>
      <c r="C462" s="191" t="s">
        <v>256</v>
      </c>
      <c r="D462" s="240"/>
      <c r="E462" s="359">
        <f>5859.7</f>
        <v>5859.7</v>
      </c>
      <c r="F462" s="287"/>
      <c r="G462" s="287"/>
      <c r="H462" s="212"/>
      <c r="I462" s="213"/>
      <c r="J462" s="214"/>
      <c r="K462" s="214"/>
    </row>
    <row r="463" spans="1:11" s="215" customFormat="1" ht="11.25" customHeight="1">
      <c r="A463" s="240"/>
      <c r="B463" s="286"/>
      <c r="C463" s="191" t="s">
        <v>257</v>
      </c>
      <c r="D463" s="240"/>
      <c r="E463" s="359">
        <f>5667.4</f>
        <v>5667.4</v>
      </c>
      <c r="F463" s="287"/>
      <c r="G463" s="287"/>
      <c r="H463" s="212"/>
      <c r="I463" s="213"/>
      <c r="J463" s="214"/>
      <c r="K463" s="214"/>
    </row>
    <row r="464" spans="1:11" s="179" customFormat="1" ht="12">
      <c r="A464" s="230"/>
      <c r="B464" s="231" t="s">
        <v>62</v>
      </c>
      <c r="C464" s="231" t="str">
        <f>CONCATENATE(B432," ",C432)</f>
        <v>767 Konstrukce zámečnické</v>
      </c>
      <c r="D464" s="231"/>
      <c r="E464" s="284"/>
      <c r="F464" s="231"/>
      <c r="G464" s="234">
        <f>SUM(G432:G463)</f>
        <v>0</v>
      </c>
      <c r="H464" s="176"/>
      <c r="I464" s="177"/>
      <c r="J464" s="178"/>
      <c r="K464" s="178"/>
    </row>
    <row r="465" spans="1:11" s="171" customFormat="1" ht="12">
      <c r="A465" s="220" t="s">
        <v>61</v>
      </c>
      <c r="B465" s="280">
        <v>769</v>
      </c>
      <c r="C465" s="220" t="s">
        <v>109</v>
      </c>
      <c r="D465" s="222"/>
      <c r="E465" s="223"/>
      <c r="F465" s="293"/>
      <c r="G465" s="223"/>
      <c r="H465" s="168"/>
      <c r="I465" s="169"/>
      <c r="J465" s="170"/>
      <c r="K465" s="170"/>
    </row>
    <row r="466" spans="1:11" s="292" customFormat="1" ht="56.25" customHeight="1">
      <c r="A466" s="266"/>
      <c r="B466" s="288"/>
      <c r="C466" s="265" t="s">
        <v>623</v>
      </c>
      <c r="D466" s="266"/>
      <c r="E466" s="268"/>
      <c r="F466" s="294"/>
      <c r="G466" s="268"/>
      <c r="H466" s="289"/>
      <c r="I466" s="290"/>
      <c r="J466" s="291"/>
      <c r="K466" s="291"/>
    </row>
    <row r="467" spans="1:11" s="292" customFormat="1" ht="11.25" customHeight="1">
      <c r="A467" s="247">
        <v>233</v>
      </c>
      <c r="B467" s="224" t="s">
        <v>110</v>
      </c>
      <c r="C467" s="224" t="s">
        <v>111</v>
      </c>
      <c r="D467" s="227" t="s">
        <v>83</v>
      </c>
      <c r="E467" s="249">
        <f>SUM(E468:E490)</f>
        <v>179</v>
      </c>
      <c r="F467" s="283"/>
      <c r="G467" s="249">
        <f>E467*F467</f>
        <v>0</v>
      </c>
      <c r="H467" s="289"/>
      <c r="I467" s="290"/>
      <c r="J467" s="291"/>
      <c r="K467" s="291"/>
    </row>
    <row r="468" spans="1:11" s="292" customFormat="1" ht="11.25" customHeight="1">
      <c r="A468" s="266"/>
      <c r="B468" s="295"/>
      <c r="C468" s="273" t="s">
        <v>259</v>
      </c>
      <c r="D468" s="266"/>
      <c r="E468" s="367">
        <f>5</f>
        <v>5</v>
      </c>
      <c r="F468" s="283"/>
      <c r="G468" s="268"/>
      <c r="H468" s="289"/>
      <c r="I468" s="290"/>
      <c r="J468" s="291"/>
      <c r="K468" s="291"/>
    </row>
    <row r="469" spans="1:11" s="215" customFormat="1" ht="11.25" customHeight="1">
      <c r="A469" s="240"/>
      <c r="B469" s="286"/>
      <c r="C469" s="191" t="s">
        <v>260</v>
      </c>
      <c r="D469" s="240"/>
      <c r="E469" s="359">
        <f>10</f>
        <v>10</v>
      </c>
      <c r="F469" s="287"/>
      <c r="G469" s="242"/>
      <c r="H469" s="212"/>
      <c r="I469" s="213"/>
      <c r="J469" s="214"/>
      <c r="K469" s="214"/>
    </row>
    <row r="470" spans="1:11" s="215" customFormat="1" ht="11.25" customHeight="1">
      <c r="A470" s="240"/>
      <c r="B470" s="286"/>
      <c r="C470" s="191" t="s">
        <v>261</v>
      </c>
      <c r="D470" s="240"/>
      <c r="E470" s="359">
        <f>5</f>
        <v>5</v>
      </c>
      <c r="F470" s="287"/>
      <c r="G470" s="242"/>
      <c r="H470" s="212"/>
      <c r="I470" s="213"/>
      <c r="J470" s="214"/>
      <c r="K470" s="214"/>
    </row>
    <row r="471" spans="1:11" s="215" customFormat="1" ht="11.25" customHeight="1">
      <c r="A471" s="240"/>
      <c r="B471" s="286"/>
      <c r="C471" s="191" t="s">
        <v>262</v>
      </c>
      <c r="D471" s="240"/>
      <c r="E471" s="359">
        <f>4</f>
        <v>4</v>
      </c>
      <c r="F471" s="287"/>
      <c r="G471" s="242"/>
      <c r="H471" s="212"/>
      <c r="I471" s="213"/>
      <c r="J471" s="214"/>
      <c r="K471" s="214"/>
    </row>
    <row r="472" spans="1:11" s="215" customFormat="1" ht="11.25" customHeight="1">
      <c r="A472" s="240"/>
      <c r="B472" s="286"/>
      <c r="C472" s="191" t="s">
        <v>267</v>
      </c>
      <c r="D472" s="240"/>
      <c r="E472" s="359">
        <f>2</f>
        <v>2</v>
      </c>
      <c r="F472" s="287"/>
      <c r="G472" s="242"/>
      <c r="H472" s="212"/>
      <c r="I472" s="213"/>
      <c r="J472" s="214"/>
      <c r="K472" s="214"/>
    </row>
    <row r="473" spans="1:11" s="215" customFormat="1" ht="11.25" customHeight="1">
      <c r="A473" s="240"/>
      <c r="B473" s="286"/>
      <c r="C473" s="191" t="s">
        <v>269</v>
      </c>
      <c r="D473" s="240"/>
      <c r="E473" s="359">
        <f>20</f>
        <v>20</v>
      </c>
      <c r="F473" s="287"/>
      <c r="G473" s="242"/>
      <c r="H473" s="212"/>
      <c r="I473" s="213"/>
      <c r="J473" s="214"/>
      <c r="K473" s="214"/>
    </row>
    <row r="474" spans="1:11" s="215" customFormat="1" ht="11.25" customHeight="1">
      <c r="A474" s="240"/>
      <c r="B474" s="286"/>
      <c r="C474" s="191" t="s">
        <v>271</v>
      </c>
      <c r="D474" s="240"/>
      <c r="E474" s="359">
        <f>41</f>
        <v>41</v>
      </c>
      <c r="F474" s="287"/>
      <c r="G474" s="242"/>
      <c r="H474" s="212"/>
      <c r="I474" s="213"/>
      <c r="J474" s="214"/>
      <c r="K474" s="214"/>
    </row>
    <row r="475" spans="1:11" s="215" customFormat="1" ht="11.25" customHeight="1">
      <c r="A475" s="240"/>
      <c r="B475" s="286"/>
      <c r="C475" s="191" t="s">
        <v>273</v>
      </c>
      <c r="D475" s="240"/>
      <c r="E475" s="359">
        <f>14</f>
        <v>14</v>
      </c>
      <c r="F475" s="287"/>
      <c r="G475" s="242"/>
      <c r="H475" s="212"/>
      <c r="I475" s="213"/>
      <c r="J475" s="214"/>
      <c r="K475" s="214"/>
    </row>
    <row r="476" spans="1:11" s="215" customFormat="1" ht="11.25" customHeight="1">
      <c r="A476" s="240"/>
      <c r="B476" s="286"/>
      <c r="C476" s="191" t="s">
        <v>275</v>
      </c>
      <c r="D476" s="240"/>
      <c r="E476" s="359">
        <f>22</f>
        <v>22</v>
      </c>
      <c r="F476" s="287"/>
      <c r="G476" s="242"/>
      <c r="H476" s="212"/>
      <c r="I476" s="213"/>
      <c r="J476" s="214"/>
      <c r="K476" s="214"/>
    </row>
    <row r="477" spans="1:11" s="215" customFormat="1" ht="11.25" customHeight="1">
      <c r="A477" s="240"/>
      <c r="B477" s="286"/>
      <c r="C477" s="191" t="s">
        <v>277</v>
      </c>
      <c r="D477" s="240"/>
      <c r="E477" s="359">
        <f>10</f>
        <v>10</v>
      </c>
      <c r="F477" s="287"/>
      <c r="G477" s="242"/>
      <c r="H477" s="212"/>
      <c r="I477" s="213"/>
      <c r="J477" s="214"/>
      <c r="K477" s="214"/>
    </row>
    <row r="478" spans="1:11" s="215" customFormat="1" ht="11.25" customHeight="1">
      <c r="A478" s="240"/>
      <c r="B478" s="286"/>
      <c r="C478" s="191" t="s">
        <v>281</v>
      </c>
      <c r="D478" s="240"/>
      <c r="E478" s="359">
        <f>1</f>
        <v>1</v>
      </c>
      <c r="F478" s="287"/>
      <c r="G478" s="242"/>
      <c r="H478" s="212"/>
      <c r="I478" s="213"/>
      <c r="J478" s="214"/>
      <c r="K478" s="214"/>
    </row>
    <row r="479" spans="1:11" s="215" customFormat="1" ht="11.25" customHeight="1">
      <c r="A479" s="240"/>
      <c r="B479" s="286"/>
      <c r="C479" s="191" t="s">
        <v>283</v>
      </c>
      <c r="D479" s="240"/>
      <c r="E479" s="359">
        <f>9</f>
        <v>9</v>
      </c>
      <c r="F479" s="287"/>
      <c r="G479" s="242"/>
      <c r="H479" s="212"/>
      <c r="I479" s="213"/>
      <c r="J479" s="214"/>
      <c r="K479" s="214"/>
    </row>
    <row r="480" spans="1:11" s="215" customFormat="1" ht="11.25" customHeight="1">
      <c r="A480" s="240"/>
      <c r="B480" s="286"/>
      <c r="C480" s="191" t="s">
        <v>285</v>
      </c>
      <c r="D480" s="240"/>
      <c r="E480" s="359">
        <f>6</f>
        <v>6</v>
      </c>
      <c r="F480" s="287"/>
      <c r="G480" s="242"/>
      <c r="H480" s="212"/>
      <c r="I480" s="213"/>
      <c r="J480" s="214"/>
      <c r="K480" s="214"/>
    </row>
    <row r="481" spans="1:11" s="215" customFormat="1" ht="11.25" customHeight="1">
      <c r="A481" s="240"/>
      <c r="B481" s="286"/>
      <c r="C481" s="191" t="s">
        <v>287</v>
      </c>
      <c r="D481" s="240"/>
      <c r="E481" s="359">
        <f>3</f>
        <v>3</v>
      </c>
      <c r="F481" s="287"/>
      <c r="G481" s="242"/>
      <c r="H481" s="212"/>
      <c r="I481" s="213"/>
      <c r="J481" s="214"/>
      <c r="K481" s="214"/>
    </row>
    <row r="482" spans="1:11" s="215" customFormat="1" ht="11.25" customHeight="1">
      <c r="A482" s="240"/>
      <c r="B482" s="286"/>
      <c r="C482" s="191" t="s">
        <v>289</v>
      </c>
      <c r="D482" s="240"/>
      <c r="E482" s="359">
        <f>4</f>
        <v>4</v>
      </c>
      <c r="F482" s="287"/>
      <c r="G482" s="242"/>
      <c r="H482" s="212"/>
      <c r="I482" s="213"/>
      <c r="J482" s="214"/>
      <c r="K482" s="214"/>
    </row>
    <row r="483" spans="1:11" s="215" customFormat="1" ht="11.25" customHeight="1">
      <c r="A483" s="240"/>
      <c r="B483" s="286"/>
      <c r="C483" s="191" t="s">
        <v>291</v>
      </c>
      <c r="D483" s="240"/>
      <c r="E483" s="359">
        <f>3</f>
        <v>3</v>
      </c>
      <c r="F483" s="287"/>
      <c r="G483" s="242"/>
      <c r="H483" s="212"/>
      <c r="I483" s="213"/>
      <c r="J483" s="214"/>
      <c r="K483" s="214"/>
    </row>
    <row r="484" spans="1:11" s="215" customFormat="1" ht="11.25" customHeight="1">
      <c r="A484" s="240"/>
      <c r="B484" s="286"/>
      <c r="C484" s="191" t="s">
        <v>293</v>
      </c>
      <c r="D484" s="240"/>
      <c r="E484" s="359">
        <f>1</f>
        <v>1</v>
      </c>
      <c r="F484" s="287"/>
      <c r="G484" s="242"/>
      <c r="H484" s="212"/>
      <c r="I484" s="213"/>
      <c r="J484" s="214"/>
      <c r="K484" s="214"/>
    </row>
    <row r="485" spans="1:11" s="215" customFormat="1" ht="11.25" customHeight="1">
      <c r="A485" s="240"/>
      <c r="B485" s="286"/>
      <c r="C485" s="191" t="s">
        <v>295</v>
      </c>
      <c r="D485" s="240"/>
      <c r="E485" s="359">
        <f>1</f>
        <v>1</v>
      </c>
      <c r="F485" s="287"/>
      <c r="G485" s="242"/>
      <c r="H485" s="212"/>
      <c r="I485" s="213"/>
      <c r="J485" s="214"/>
      <c r="K485" s="214"/>
    </row>
    <row r="486" spans="1:11" s="215" customFormat="1" ht="11.25" customHeight="1">
      <c r="A486" s="240"/>
      <c r="B486" s="286"/>
      <c r="C486" s="191" t="s">
        <v>297</v>
      </c>
      <c r="D486" s="240"/>
      <c r="E486" s="359">
        <f>1</f>
        <v>1</v>
      </c>
      <c r="F486" s="287"/>
      <c r="G486" s="242"/>
      <c r="H486" s="212"/>
      <c r="I486" s="213"/>
      <c r="J486" s="214"/>
      <c r="K486" s="214"/>
    </row>
    <row r="487" spans="1:11" s="215" customFormat="1" ht="11.25" customHeight="1">
      <c r="A487" s="240"/>
      <c r="B487" s="286"/>
      <c r="C487" s="191" t="s">
        <v>299</v>
      </c>
      <c r="D487" s="240"/>
      <c r="E487" s="359">
        <f>3</f>
        <v>3</v>
      </c>
      <c r="F487" s="287"/>
      <c r="G487" s="242"/>
      <c r="H487" s="212"/>
      <c r="I487" s="213"/>
      <c r="J487" s="214"/>
      <c r="K487" s="214"/>
    </row>
    <row r="488" spans="1:11" s="215" customFormat="1" ht="11.25" customHeight="1">
      <c r="A488" s="240"/>
      <c r="B488" s="286"/>
      <c r="C488" s="191" t="s">
        <v>301</v>
      </c>
      <c r="D488" s="240"/>
      <c r="E488" s="359">
        <f>12</f>
        <v>12</v>
      </c>
      <c r="F488" s="287"/>
      <c r="G488" s="242"/>
      <c r="H488" s="212"/>
      <c r="I488" s="213"/>
      <c r="J488" s="214"/>
      <c r="K488" s="214"/>
    </row>
    <row r="489" spans="1:11" s="215" customFormat="1" ht="11.25" customHeight="1">
      <c r="A489" s="240"/>
      <c r="B489" s="286"/>
      <c r="C489" s="191" t="s">
        <v>303</v>
      </c>
      <c r="D489" s="240"/>
      <c r="E489" s="359">
        <f>1</f>
        <v>1</v>
      </c>
      <c r="F489" s="287"/>
      <c r="G489" s="242"/>
      <c r="H489" s="212"/>
      <c r="I489" s="213"/>
      <c r="J489" s="214"/>
      <c r="K489" s="214"/>
    </row>
    <row r="490" spans="1:11" s="215" customFormat="1" ht="11.25" customHeight="1">
      <c r="A490" s="240"/>
      <c r="B490" s="286"/>
      <c r="C490" s="191" t="s">
        <v>306</v>
      </c>
      <c r="D490" s="240"/>
      <c r="E490" s="359">
        <f>1</f>
        <v>1</v>
      </c>
      <c r="F490" s="287"/>
      <c r="G490" s="242"/>
      <c r="H490" s="212"/>
      <c r="I490" s="213"/>
      <c r="J490" s="214"/>
      <c r="K490" s="214"/>
    </row>
    <row r="491" spans="1:11" s="203" customFormat="1" ht="11.25" customHeight="1">
      <c r="A491" s="247">
        <v>234</v>
      </c>
      <c r="B491" s="295" t="s">
        <v>311</v>
      </c>
      <c r="C491" s="296" t="s">
        <v>312</v>
      </c>
      <c r="D491" s="247" t="s">
        <v>83</v>
      </c>
      <c r="E491" s="249">
        <f>SUM(E492:E493)</f>
        <v>2</v>
      </c>
      <c r="F491" s="294"/>
      <c r="G491" s="249">
        <f>E491*F491</f>
        <v>0</v>
      </c>
      <c r="H491" s="200"/>
      <c r="I491" s="201"/>
      <c r="J491" s="202"/>
      <c r="K491" s="202"/>
    </row>
    <row r="492" spans="1:11" s="215" customFormat="1" ht="11.25" customHeight="1">
      <c r="A492" s="240"/>
      <c r="B492" s="286"/>
      <c r="C492" s="191" t="s">
        <v>313</v>
      </c>
      <c r="D492" s="240"/>
      <c r="E492" s="359">
        <f>1</f>
        <v>1</v>
      </c>
      <c r="F492" s="287"/>
      <c r="G492" s="242"/>
      <c r="H492" s="212"/>
      <c r="I492" s="213"/>
      <c r="J492" s="214"/>
      <c r="K492" s="214"/>
    </row>
    <row r="493" spans="1:11" s="215" customFormat="1" ht="11.25" customHeight="1">
      <c r="A493" s="240"/>
      <c r="B493" s="286"/>
      <c r="C493" s="191" t="s">
        <v>314</v>
      </c>
      <c r="D493" s="240"/>
      <c r="E493" s="359">
        <f>1</f>
        <v>1</v>
      </c>
      <c r="F493" s="287"/>
      <c r="G493" s="242"/>
      <c r="H493" s="212"/>
      <c r="I493" s="213"/>
      <c r="J493" s="214"/>
      <c r="K493" s="214"/>
    </row>
    <row r="494" spans="1:11" s="203" customFormat="1" ht="33.75" customHeight="1">
      <c r="A494" s="297">
        <v>235</v>
      </c>
      <c r="B494" s="298">
        <v>61143000</v>
      </c>
      <c r="C494" s="257" t="s">
        <v>263</v>
      </c>
      <c r="D494" s="247" t="s">
        <v>83</v>
      </c>
      <c r="E494" s="249">
        <v>5</v>
      </c>
      <c r="F494" s="294"/>
      <c r="G494" s="249">
        <f>E494*F494</f>
        <v>0</v>
      </c>
      <c r="H494" s="200"/>
      <c r="I494" s="201"/>
      <c r="J494" s="202"/>
      <c r="K494" s="202"/>
    </row>
    <row r="495" spans="1:11" s="203" customFormat="1" ht="33.75" customHeight="1">
      <c r="A495" s="297">
        <v>236</v>
      </c>
      <c r="B495" s="298">
        <v>61143001</v>
      </c>
      <c r="C495" s="257" t="s">
        <v>264</v>
      </c>
      <c r="D495" s="247" t="s">
        <v>83</v>
      </c>
      <c r="E495" s="249">
        <v>10</v>
      </c>
      <c r="F495" s="294"/>
      <c r="G495" s="249">
        <f aca="true" t="shared" si="6" ref="G495:G519">E495*F495</f>
        <v>0</v>
      </c>
      <c r="H495" s="200"/>
      <c r="I495" s="201"/>
      <c r="J495" s="202"/>
      <c r="K495" s="202"/>
    </row>
    <row r="496" spans="1:11" s="203" customFormat="1" ht="33.75" customHeight="1">
      <c r="A496" s="297">
        <v>237</v>
      </c>
      <c r="B496" s="298">
        <v>61143002</v>
      </c>
      <c r="C496" s="257" t="s">
        <v>265</v>
      </c>
      <c r="D496" s="247" t="s">
        <v>83</v>
      </c>
      <c r="E496" s="249">
        <v>5</v>
      </c>
      <c r="F496" s="294"/>
      <c r="G496" s="249">
        <f t="shared" si="6"/>
        <v>0</v>
      </c>
      <c r="H496" s="200"/>
      <c r="I496" s="201"/>
      <c r="J496" s="202"/>
      <c r="K496" s="202"/>
    </row>
    <row r="497" spans="1:11" s="203" customFormat="1" ht="33.75" customHeight="1">
      <c r="A497" s="297">
        <v>238</v>
      </c>
      <c r="B497" s="298">
        <v>61143003</v>
      </c>
      <c r="C497" s="257" t="s">
        <v>266</v>
      </c>
      <c r="D497" s="247" t="s">
        <v>83</v>
      </c>
      <c r="E497" s="249">
        <v>4</v>
      </c>
      <c r="F497" s="294"/>
      <c r="G497" s="249">
        <f t="shared" si="6"/>
        <v>0</v>
      </c>
      <c r="H497" s="200"/>
      <c r="I497" s="201"/>
      <c r="J497" s="202"/>
      <c r="K497" s="202"/>
    </row>
    <row r="498" spans="1:11" s="203" customFormat="1" ht="33.75" customHeight="1">
      <c r="A498" s="297">
        <v>239</v>
      </c>
      <c r="B498" s="298">
        <v>61143004</v>
      </c>
      <c r="C498" s="257" t="s">
        <v>268</v>
      </c>
      <c r="D498" s="247" t="s">
        <v>83</v>
      </c>
      <c r="E498" s="249">
        <v>2</v>
      </c>
      <c r="F498" s="294"/>
      <c r="G498" s="249">
        <f t="shared" si="6"/>
        <v>0</v>
      </c>
      <c r="H498" s="200"/>
      <c r="I498" s="201"/>
      <c r="J498" s="202"/>
      <c r="K498" s="202"/>
    </row>
    <row r="499" spans="1:11" s="203" customFormat="1" ht="33.75" customHeight="1">
      <c r="A499" s="297">
        <v>240</v>
      </c>
      <c r="B499" s="298">
        <v>61143005</v>
      </c>
      <c r="C499" s="257" t="s">
        <v>270</v>
      </c>
      <c r="D499" s="247" t="s">
        <v>83</v>
      </c>
      <c r="E499" s="249">
        <v>20</v>
      </c>
      <c r="F499" s="294"/>
      <c r="G499" s="249">
        <f t="shared" si="6"/>
        <v>0</v>
      </c>
      <c r="H499" s="200"/>
      <c r="I499" s="201"/>
      <c r="J499" s="202"/>
      <c r="K499" s="202"/>
    </row>
    <row r="500" spans="1:11" s="203" customFormat="1" ht="33.75" customHeight="1">
      <c r="A500" s="297">
        <v>241</v>
      </c>
      <c r="B500" s="298">
        <v>61143006</v>
      </c>
      <c r="C500" s="257" t="s">
        <v>272</v>
      </c>
      <c r="D500" s="247" t="s">
        <v>83</v>
      </c>
      <c r="E500" s="249">
        <v>41</v>
      </c>
      <c r="F500" s="294"/>
      <c r="G500" s="249">
        <f t="shared" si="6"/>
        <v>0</v>
      </c>
      <c r="H500" s="200"/>
      <c r="I500" s="201"/>
      <c r="J500" s="202"/>
      <c r="K500" s="202"/>
    </row>
    <row r="501" spans="1:11" s="203" customFormat="1" ht="33.75" customHeight="1">
      <c r="A501" s="297">
        <v>242</v>
      </c>
      <c r="B501" s="298">
        <v>61143007</v>
      </c>
      <c r="C501" s="257" t="s">
        <v>274</v>
      </c>
      <c r="D501" s="247" t="s">
        <v>83</v>
      </c>
      <c r="E501" s="249">
        <v>14</v>
      </c>
      <c r="F501" s="294"/>
      <c r="G501" s="249">
        <f t="shared" si="6"/>
        <v>0</v>
      </c>
      <c r="H501" s="200"/>
      <c r="I501" s="201"/>
      <c r="J501" s="202"/>
      <c r="K501" s="202"/>
    </row>
    <row r="502" spans="1:11" s="203" customFormat="1" ht="33.75" customHeight="1">
      <c r="A502" s="297">
        <v>243</v>
      </c>
      <c r="B502" s="298">
        <v>61143008</v>
      </c>
      <c r="C502" s="257" t="s">
        <v>276</v>
      </c>
      <c r="D502" s="247" t="s">
        <v>83</v>
      </c>
      <c r="E502" s="249">
        <v>22</v>
      </c>
      <c r="F502" s="294"/>
      <c r="G502" s="249">
        <f t="shared" si="6"/>
        <v>0</v>
      </c>
      <c r="H502" s="200"/>
      <c r="I502" s="201"/>
      <c r="J502" s="202"/>
      <c r="K502" s="202"/>
    </row>
    <row r="503" spans="1:11" s="203" customFormat="1" ht="33.75" customHeight="1">
      <c r="A503" s="297">
        <v>244</v>
      </c>
      <c r="B503" s="298">
        <v>61143009</v>
      </c>
      <c r="C503" s="257" t="s">
        <v>278</v>
      </c>
      <c r="D503" s="247" t="s">
        <v>83</v>
      </c>
      <c r="E503" s="249">
        <v>9</v>
      </c>
      <c r="F503" s="294"/>
      <c r="G503" s="249">
        <f t="shared" si="6"/>
        <v>0</v>
      </c>
      <c r="H503" s="200"/>
      <c r="I503" s="201"/>
      <c r="J503" s="202"/>
      <c r="K503" s="202"/>
    </row>
    <row r="504" spans="1:11" s="203" customFormat="1" ht="33.75" customHeight="1">
      <c r="A504" s="297">
        <v>245</v>
      </c>
      <c r="B504" s="298" t="s">
        <v>279</v>
      </c>
      <c r="C504" s="257" t="s">
        <v>280</v>
      </c>
      <c r="D504" s="247" t="s">
        <v>83</v>
      </c>
      <c r="E504" s="249">
        <v>1</v>
      </c>
      <c r="F504" s="294"/>
      <c r="G504" s="249">
        <f t="shared" si="6"/>
        <v>0</v>
      </c>
      <c r="H504" s="200"/>
      <c r="I504" s="201"/>
      <c r="J504" s="202"/>
      <c r="K504" s="202"/>
    </row>
    <row r="505" spans="1:11" s="203" customFormat="1" ht="33.75" customHeight="1">
      <c r="A505" s="297">
        <v>246</v>
      </c>
      <c r="B505" s="298">
        <v>61143010</v>
      </c>
      <c r="C505" s="257" t="s">
        <v>282</v>
      </c>
      <c r="D505" s="247" t="s">
        <v>83</v>
      </c>
      <c r="E505" s="249">
        <v>1</v>
      </c>
      <c r="F505" s="294"/>
      <c r="G505" s="249">
        <f t="shared" si="6"/>
        <v>0</v>
      </c>
      <c r="H505" s="200"/>
      <c r="I505" s="201"/>
      <c r="J505" s="202"/>
      <c r="K505" s="202"/>
    </row>
    <row r="506" spans="1:11" s="203" customFormat="1" ht="33.75" customHeight="1">
      <c r="A506" s="297">
        <v>247</v>
      </c>
      <c r="B506" s="298">
        <v>61143011</v>
      </c>
      <c r="C506" s="257" t="s">
        <v>284</v>
      </c>
      <c r="D506" s="247" t="s">
        <v>83</v>
      </c>
      <c r="E506" s="249">
        <v>9</v>
      </c>
      <c r="F506" s="294"/>
      <c r="G506" s="249">
        <f t="shared" si="6"/>
        <v>0</v>
      </c>
      <c r="H506" s="200"/>
      <c r="I506" s="201"/>
      <c r="J506" s="202"/>
      <c r="K506" s="202"/>
    </row>
    <row r="507" spans="1:11" s="203" customFormat="1" ht="33.75" customHeight="1">
      <c r="A507" s="297">
        <v>248</v>
      </c>
      <c r="B507" s="298">
        <v>61143012</v>
      </c>
      <c r="C507" s="257" t="s">
        <v>286</v>
      </c>
      <c r="D507" s="247" t="s">
        <v>83</v>
      </c>
      <c r="E507" s="249">
        <v>6</v>
      </c>
      <c r="F507" s="294"/>
      <c r="G507" s="249">
        <f t="shared" si="6"/>
        <v>0</v>
      </c>
      <c r="H507" s="200"/>
      <c r="I507" s="201"/>
      <c r="J507" s="202"/>
      <c r="K507" s="202"/>
    </row>
    <row r="508" spans="1:11" s="203" customFormat="1" ht="33.75" customHeight="1">
      <c r="A508" s="297">
        <v>249</v>
      </c>
      <c r="B508" s="298">
        <v>61143013</v>
      </c>
      <c r="C508" s="257" t="s">
        <v>288</v>
      </c>
      <c r="D508" s="247" t="s">
        <v>83</v>
      </c>
      <c r="E508" s="249">
        <v>3</v>
      </c>
      <c r="F508" s="294"/>
      <c r="G508" s="249">
        <f t="shared" si="6"/>
        <v>0</v>
      </c>
      <c r="H508" s="200"/>
      <c r="I508" s="201"/>
      <c r="J508" s="202"/>
      <c r="K508" s="202"/>
    </row>
    <row r="509" spans="1:11" s="203" customFormat="1" ht="33.75" customHeight="1">
      <c r="A509" s="297">
        <v>250</v>
      </c>
      <c r="B509" s="298">
        <v>61143014</v>
      </c>
      <c r="C509" s="257" t="s">
        <v>290</v>
      </c>
      <c r="D509" s="247" t="s">
        <v>83</v>
      </c>
      <c r="E509" s="249">
        <v>4</v>
      </c>
      <c r="F509" s="294"/>
      <c r="G509" s="249">
        <f t="shared" si="6"/>
        <v>0</v>
      </c>
      <c r="H509" s="200"/>
      <c r="I509" s="201"/>
      <c r="J509" s="202"/>
      <c r="K509" s="202"/>
    </row>
    <row r="510" spans="1:11" s="203" customFormat="1" ht="33.75" customHeight="1">
      <c r="A510" s="297">
        <v>251</v>
      </c>
      <c r="B510" s="298">
        <v>61143015</v>
      </c>
      <c r="C510" s="257" t="s">
        <v>292</v>
      </c>
      <c r="D510" s="247" t="s">
        <v>83</v>
      </c>
      <c r="E510" s="249">
        <v>3</v>
      </c>
      <c r="F510" s="294"/>
      <c r="G510" s="249">
        <f t="shared" si="6"/>
        <v>0</v>
      </c>
      <c r="H510" s="200"/>
      <c r="I510" s="201"/>
      <c r="J510" s="202"/>
      <c r="K510" s="202"/>
    </row>
    <row r="511" spans="1:11" s="203" customFormat="1" ht="33.75" customHeight="1">
      <c r="A511" s="297">
        <v>252</v>
      </c>
      <c r="B511" s="298">
        <v>61143016</v>
      </c>
      <c r="C511" s="257" t="s">
        <v>294</v>
      </c>
      <c r="D511" s="247" t="s">
        <v>83</v>
      </c>
      <c r="E511" s="249">
        <v>1</v>
      </c>
      <c r="F511" s="294"/>
      <c r="G511" s="249">
        <f t="shared" si="6"/>
        <v>0</v>
      </c>
      <c r="H511" s="200"/>
      <c r="I511" s="201"/>
      <c r="J511" s="202"/>
      <c r="K511" s="202"/>
    </row>
    <row r="512" spans="1:11" s="203" customFormat="1" ht="22.5" customHeight="1">
      <c r="A512" s="297">
        <v>253</v>
      </c>
      <c r="B512" s="298">
        <v>61143017</v>
      </c>
      <c r="C512" s="257" t="s">
        <v>296</v>
      </c>
      <c r="D512" s="247" t="s">
        <v>83</v>
      </c>
      <c r="E512" s="249">
        <v>1</v>
      </c>
      <c r="F512" s="294"/>
      <c r="G512" s="249">
        <f t="shared" si="6"/>
        <v>0</v>
      </c>
      <c r="H512" s="200"/>
      <c r="I512" s="201"/>
      <c r="J512" s="202"/>
      <c r="K512" s="202"/>
    </row>
    <row r="513" spans="1:11" s="203" customFormat="1" ht="33.75" customHeight="1">
      <c r="A513" s="297">
        <v>254</v>
      </c>
      <c r="B513" s="298">
        <v>61143018</v>
      </c>
      <c r="C513" s="257" t="s">
        <v>298</v>
      </c>
      <c r="D513" s="247" t="s">
        <v>83</v>
      </c>
      <c r="E513" s="249">
        <v>1</v>
      </c>
      <c r="F513" s="294"/>
      <c r="G513" s="249">
        <f t="shared" si="6"/>
        <v>0</v>
      </c>
      <c r="H513" s="200"/>
      <c r="I513" s="201"/>
      <c r="J513" s="202"/>
      <c r="K513" s="202"/>
    </row>
    <row r="514" spans="1:11" s="203" customFormat="1" ht="33.75" customHeight="1">
      <c r="A514" s="297">
        <v>255</v>
      </c>
      <c r="B514" s="298">
        <v>61143019</v>
      </c>
      <c r="C514" s="257" t="s">
        <v>300</v>
      </c>
      <c r="D514" s="247" t="s">
        <v>83</v>
      </c>
      <c r="E514" s="249">
        <v>3</v>
      </c>
      <c r="F514" s="294"/>
      <c r="G514" s="249">
        <f t="shared" si="6"/>
        <v>0</v>
      </c>
      <c r="H514" s="200"/>
      <c r="I514" s="201"/>
      <c r="J514" s="202"/>
      <c r="K514" s="202"/>
    </row>
    <row r="515" spans="1:11" s="203" customFormat="1" ht="33.75" customHeight="1">
      <c r="A515" s="297">
        <v>256</v>
      </c>
      <c r="B515" s="298">
        <v>61143020</v>
      </c>
      <c r="C515" s="257" t="s">
        <v>302</v>
      </c>
      <c r="D515" s="247" t="s">
        <v>83</v>
      </c>
      <c r="E515" s="249">
        <v>12</v>
      </c>
      <c r="F515" s="294"/>
      <c r="G515" s="249">
        <f t="shared" si="6"/>
        <v>0</v>
      </c>
      <c r="H515" s="200"/>
      <c r="I515" s="201"/>
      <c r="J515" s="202"/>
      <c r="K515" s="202"/>
    </row>
    <row r="516" spans="1:11" s="203" customFormat="1" ht="33.75" customHeight="1">
      <c r="A516" s="297">
        <v>257</v>
      </c>
      <c r="B516" s="298">
        <v>61143021</v>
      </c>
      <c r="C516" s="257" t="s">
        <v>304</v>
      </c>
      <c r="D516" s="247" t="s">
        <v>83</v>
      </c>
      <c r="E516" s="249">
        <v>1</v>
      </c>
      <c r="F516" s="294"/>
      <c r="G516" s="249">
        <f t="shared" si="6"/>
        <v>0</v>
      </c>
      <c r="H516" s="200"/>
      <c r="I516" s="201"/>
      <c r="J516" s="202"/>
      <c r="K516" s="202"/>
    </row>
    <row r="517" spans="1:11" s="203" customFormat="1" ht="33.75" customHeight="1">
      <c r="A517" s="297">
        <v>258</v>
      </c>
      <c r="B517" s="298">
        <v>61143022</v>
      </c>
      <c r="C517" s="257" t="s">
        <v>305</v>
      </c>
      <c r="D517" s="247" t="s">
        <v>83</v>
      </c>
      <c r="E517" s="249">
        <v>1</v>
      </c>
      <c r="F517" s="294"/>
      <c r="G517" s="249">
        <f t="shared" si="6"/>
        <v>0</v>
      </c>
      <c r="H517" s="200"/>
      <c r="I517" s="201"/>
      <c r="J517" s="202"/>
      <c r="K517" s="202"/>
    </row>
    <row r="518" spans="1:11" s="203" customFormat="1" ht="33.75" customHeight="1">
      <c r="A518" s="297">
        <v>259</v>
      </c>
      <c r="B518" s="298">
        <v>61143023</v>
      </c>
      <c r="C518" s="257" t="s">
        <v>315</v>
      </c>
      <c r="D518" s="247" t="s">
        <v>83</v>
      </c>
      <c r="E518" s="249">
        <v>1</v>
      </c>
      <c r="F518" s="294"/>
      <c r="G518" s="249">
        <f t="shared" si="6"/>
        <v>0</v>
      </c>
      <c r="H518" s="200"/>
      <c r="I518" s="201"/>
      <c r="J518" s="202"/>
      <c r="K518" s="202"/>
    </row>
    <row r="519" spans="1:11" s="203" customFormat="1" ht="33.75" customHeight="1">
      <c r="A519" s="297">
        <v>260</v>
      </c>
      <c r="B519" s="298">
        <v>61143024</v>
      </c>
      <c r="C519" s="257" t="s">
        <v>316</v>
      </c>
      <c r="D519" s="247" t="s">
        <v>83</v>
      </c>
      <c r="E519" s="249">
        <v>1</v>
      </c>
      <c r="F519" s="294"/>
      <c r="G519" s="249">
        <f t="shared" si="6"/>
        <v>0</v>
      </c>
      <c r="H519" s="200"/>
      <c r="I519" s="201"/>
      <c r="J519" s="202"/>
      <c r="K519" s="202"/>
    </row>
    <row r="520" spans="1:11" s="179" customFormat="1" ht="12">
      <c r="A520" s="230"/>
      <c r="B520" s="231" t="s">
        <v>62</v>
      </c>
      <c r="C520" s="231" t="str">
        <f>CONCATENATE(B465," ",C465)</f>
        <v>769 Otvorové prvky z plastů</v>
      </c>
      <c r="D520" s="232"/>
      <c r="E520" s="284"/>
      <c r="F520" s="231"/>
      <c r="G520" s="234">
        <f>SUM(G465:G519)</f>
        <v>0</v>
      </c>
      <c r="H520" s="176"/>
      <c r="I520" s="177"/>
      <c r="J520" s="178"/>
      <c r="K520" s="178"/>
    </row>
    <row r="521" spans="1:11" s="171" customFormat="1" ht="12">
      <c r="A521" s="220" t="s">
        <v>61</v>
      </c>
      <c r="B521" s="280">
        <v>771</v>
      </c>
      <c r="C521" s="220" t="s">
        <v>96</v>
      </c>
      <c r="D521" s="222"/>
      <c r="E521" s="223"/>
      <c r="F521" s="281"/>
      <c r="G521" s="223"/>
      <c r="H521" s="168"/>
      <c r="I521" s="169"/>
      <c r="J521" s="170"/>
      <c r="K521" s="170"/>
    </row>
    <row r="522" spans="1:11" s="175" customFormat="1" ht="22.5" customHeight="1">
      <c r="A522" s="355">
        <v>261</v>
      </c>
      <c r="B522" s="285">
        <v>771475099</v>
      </c>
      <c r="C522" s="236" t="s">
        <v>617</v>
      </c>
      <c r="D522" s="227" t="s">
        <v>80</v>
      </c>
      <c r="E522" s="229">
        <v>316.4</v>
      </c>
      <c r="F522" s="283"/>
      <c r="G522" s="229">
        <f>E522*F522</f>
        <v>0</v>
      </c>
      <c r="H522" s="172"/>
      <c r="I522" s="173"/>
      <c r="J522" s="174"/>
      <c r="K522" s="174"/>
    </row>
    <row r="523" spans="1:11" s="175" customFormat="1" ht="33.75" customHeight="1">
      <c r="A523" s="355">
        <v>262</v>
      </c>
      <c r="B523" s="285">
        <v>771571999</v>
      </c>
      <c r="C523" s="236" t="s">
        <v>616</v>
      </c>
      <c r="D523" s="227" t="s">
        <v>63</v>
      </c>
      <c r="E523" s="229">
        <f>SUM(E524)</f>
        <v>15</v>
      </c>
      <c r="F523" s="283"/>
      <c r="G523" s="229">
        <f>E523*F523</f>
        <v>0</v>
      </c>
      <c r="H523" s="172"/>
      <c r="I523" s="173"/>
      <c r="J523" s="174"/>
      <c r="K523" s="174"/>
    </row>
    <row r="524" spans="1:11" s="215" customFormat="1" ht="22.5" customHeight="1">
      <c r="A524" s="240"/>
      <c r="B524" s="286"/>
      <c r="C524" s="254" t="s">
        <v>615</v>
      </c>
      <c r="D524" s="240"/>
      <c r="E524" s="242">
        <f>15</f>
        <v>15</v>
      </c>
      <c r="F524" s="287"/>
      <c r="G524" s="242"/>
      <c r="H524" s="212"/>
      <c r="I524" s="213"/>
      <c r="J524" s="214"/>
      <c r="K524" s="214"/>
    </row>
    <row r="525" spans="1:11" s="179" customFormat="1" ht="12">
      <c r="A525" s="230"/>
      <c r="B525" s="231" t="s">
        <v>62</v>
      </c>
      <c r="C525" s="231" t="str">
        <f>CONCATENATE(B521," ",C521)</f>
        <v>771 Dlažby keramické</v>
      </c>
      <c r="D525" s="231"/>
      <c r="E525" s="284"/>
      <c r="F525" s="231"/>
      <c r="G525" s="234">
        <f>SUM(G521:G524)</f>
        <v>0</v>
      </c>
      <c r="H525" s="176"/>
      <c r="I525" s="177"/>
      <c r="J525" s="178"/>
      <c r="K525" s="178"/>
    </row>
    <row r="526" spans="1:11" s="171" customFormat="1" ht="12">
      <c r="A526" s="220" t="s">
        <v>61</v>
      </c>
      <c r="B526" s="280">
        <v>781</v>
      </c>
      <c r="C526" s="220" t="s">
        <v>121</v>
      </c>
      <c r="D526" s="222"/>
      <c r="E526" s="223"/>
      <c r="F526" s="281"/>
      <c r="G526" s="223"/>
      <c r="H526" s="168"/>
      <c r="I526" s="169"/>
      <c r="J526" s="170"/>
      <c r="K526" s="170"/>
    </row>
    <row r="527" spans="1:11" s="175" customFormat="1" ht="33.75" customHeight="1">
      <c r="A527" s="355">
        <v>263</v>
      </c>
      <c r="B527" s="285">
        <v>781411990</v>
      </c>
      <c r="C527" s="236" t="s">
        <v>620</v>
      </c>
      <c r="D527" s="227" t="s">
        <v>63</v>
      </c>
      <c r="E527" s="229">
        <f>SUM(E528)</f>
        <v>1</v>
      </c>
      <c r="F527" s="283"/>
      <c r="G527" s="229">
        <f>E527*F527</f>
        <v>0</v>
      </c>
      <c r="H527" s="172"/>
      <c r="I527" s="173"/>
      <c r="J527" s="174"/>
      <c r="K527" s="174"/>
    </row>
    <row r="528" spans="1:11" s="215" customFormat="1" ht="22.5" customHeight="1">
      <c r="A528" s="240"/>
      <c r="B528" s="286"/>
      <c r="C528" s="254" t="s">
        <v>621</v>
      </c>
      <c r="D528" s="240"/>
      <c r="E528" s="242">
        <f>1</f>
        <v>1</v>
      </c>
      <c r="F528" s="287"/>
      <c r="G528" s="242"/>
      <c r="H528" s="212"/>
      <c r="I528" s="213"/>
      <c r="J528" s="214"/>
      <c r="K528" s="214"/>
    </row>
    <row r="529" spans="1:11" s="203" customFormat="1" ht="33.75" customHeight="1">
      <c r="A529" s="297">
        <v>264</v>
      </c>
      <c r="B529" s="298">
        <v>781411991</v>
      </c>
      <c r="C529" s="250" t="s">
        <v>677</v>
      </c>
      <c r="D529" s="247" t="s">
        <v>80</v>
      </c>
      <c r="E529" s="249">
        <v>34.6</v>
      </c>
      <c r="F529" s="294"/>
      <c r="G529" s="249">
        <f>E529*F529</f>
        <v>0</v>
      </c>
      <c r="H529" s="200"/>
      <c r="I529" s="201"/>
      <c r="J529" s="202"/>
      <c r="K529" s="202"/>
    </row>
    <row r="530" spans="1:11" s="179" customFormat="1" ht="12">
      <c r="A530" s="230"/>
      <c r="B530" s="231" t="s">
        <v>62</v>
      </c>
      <c r="C530" s="231" t="str">
        <f>CONCATENATE(B526," ",C526)</f>
        <v>781 Obklady keramické</v>
      </c>
      <c r="D530" s="231"/>
      <c r="E530" s="284"/>
      <c r="F530" s="231"/>
      <c r="G530" s="234">
        <f>SUM(G526:G529)</f>
        <v>0</v>
      </c>
      <c r="H530" s="176"/>
      <c r="I530" s="177"/>
      <c r="J530" s="178"/>
      <c r="K530" s="178"/>
    </row>
    <row r="531" spans="1:11" s="207" customFormat="1" ht="12">
      <c r="A531" s="335" t="s">
        <v>61</v>
      </c>
      <c r="B531" s="336">
        <v>783</v>
      </c>
      <c r="C531" s="335" t="s">
        <v>439</v>
      </c>
      <c r="D531" s="321"/>
      <c r="E531" s="322"/>
      <c r="F531" s="339"/>
      <c r="G531" s="322"/>
      <c r="H531" s="204"/>
      <c r="I531" s="205"/>
      <c r="J531" s="206"/>
      <c r="K531" s="206"/>
    </row>
    <row r="532" spans="1:11" s="215" customFormat="1" ht="22.5" customHeight="1">
      <c r="A532" s="238"/>
      <c r="B532" s="238"/>
      <c r="C532" s="254" t="s">
        <v>442</v>
      </c>
      <c r="D532" s="240"/>
      <c r="E532" s="242"/>
      <c r="F532" s="287"/>
      <c r="G532" s="242"/>
      <c r="H532" s="212"/>
      <c r="I532" s="213"/>
      <c r="J532" s="214"/>
      <c r="K532" s="214"/>
    </row>
    <row r="533" spans="1:11" s="203" customFormat="1" ht="11.25" customHeight="1">
      <c r="A533" s="247">
        <v>265</v>
      </c>
      <c r="B533" s="299" t="s">
        <v>440</v>
      </c>
      <c r="C533" s="299" t="s">
        <v>441</v>
      </c>
      <c r="D533" s="247" t="s">
        <v>63</v>
      </c>
      <c r="E533" s="249">
        <f>SUM(E534)</f>
        <v>244.5</v>
      </c>
      <c r="F533" s="294"/>
      <c r="G533" s="249">
        <f>E533*F533</f>
        <v>0</v>
      </c>
      <c r="H533" s="200"/>
      <c r="I533" s="201"/>
      <c r="J533" s="202"/>
      <c r="K533" s="202"/>
    </row>
    <row r="534" spans="1:11" s="215" customFormat="1" ht="11.25" customHeight="1">
      <c r="A534" s="238"/>
      <c r="B534" s="238"/>
      <c r="C534" s="238" t="s">
        <v>443</v>
      </c>
      <c r="D534" s="240"/>
      <c r="E534" s="242">
        <f>244.5</f>
        <v>244.5</v>
      </c>
      <c r="F534" s="287"/>
      <c r="G534" s="242"/>
      <c r="H534" s="212"/>
      <c r="I534" s="213"/>
      <c r="J534" s="214"/>
      <c r="K534" s="214"/>
    </row>
    <row r="535" spans="1:11" s="211" customFormat="1" ht="12">
      <c r="A535" s="337"/>
      <c r="B535" s="325" t="s">
        <v>62</v>
      </c>
      <c r="C535" s="325" t="str">
        <f>CONCATENATE(B531," ",C531)</f>
        <v>783 Nátěry</v>
      </c>
      <c r="D535" s="325"/>
      <c r="E535" s="338"/>
      <c r="F535" s="325"/>
      <c r="G535" s="328">
        <f>SUM(G531:G534)</f>
        <v>0</v>
      </c>
      <c r="H535" s="208"/>
      <c r="I535" s="209"/>
      <c r="J535" s="210"/>
      <c r="K535" s="210"/>
    </row>
    <row r="536" spans="1:11" s="171" customFormat="1" ht="12">
      <c r="A536" s="220" t="s">
        <v>61</v>
      </c>
      <c r="B536" s="280">
        <v>784</v>
      </c>
      <c r="C536" s="220" t="s">
        <v>97</v>
      </c>
      <c r="D536" s="222"/>
      <c r="E536" s="223"/>
      <c r="F536" s="281"/>
      <c r="G536" s="223"/>
      <c r="H536" s="168"/>
      <c r="I536" s="169"/>
      <c r="J536" s="170"/>
      <c r="K536" s="170"/>
    </row>
    <row r="537" spans="1:11" s="175" customFormat="1" ht="11.25" customHeight="1">
      <c r="A537" s="227">
        <v>266</v>
      </c>
      <c r="B537" s="282">
        <v>784191101</v>
      </c>
      <c r="C537" s="224" t="s">
        <v>815</v>
      </c>
      <c r="D537" s="227" t="s">
        <v>63</v>
      </c>
      <c r="E537" s="229">
        <v>7328.6</v>
      </c>
      <c r="F537" s="283"/>
      <c r="G537" s="229">
        <f>E537*F537</f>
        <v>0</v>
      </c>
      <c r="H537" s="172"/>
      <c r="I537" s="173"/>
      <c r="J537" s="174"/>
      <c r="K537" s="174"/>
    </row>
    <row r="538" spans="1:11" s="175" customFormat="1" ht="11.25" customHeight="1">
      <c r="A538" s="227">
        <v>267</v>
      </c>
      <c r="B538" s="282">
        <v>784195212</v>
      </c>
      <c r="C538" s="224" t="s">
        <v>814</v>
      </c>
      <c r="D538" s="227" t="s">
        <v>63</v>
      </c>
      <c r="E538" s="229">
        <f>SUM(E539)</f>
        <v>6850</v>
      </c>
      <c r="F538" s="283"/>
      <c r="G538" s="229">
        <f>E538*F538</f>
        <v>0</v>
      </c>
      <c r="H538" s="172"/>
      <c r="I538" s="173"/>
      <c r="J538" s="174"/>
      <c r="K538" s="174"/>
    </row>
    <row r="539" spans="1:11" s="215" customFormat="1" ht="11.25" customHeight="1">
      <c r="A539" s="240"/>
      <c r="B539" s="286"/>
      <c r="C539" s="238" t="s">
        <v>817</v>
      </c>
      <c r="D539" s="240"/>
      <c r="E539" s="242">
        <f>2100*3+550</f>
        <v>6850</v>
      </c>
      <c r="F539" s="287"/>
      <c r="G539" s="242"/>
      <c r="H539" s="212"/>
      <c r="I539" s="213"/>
      <c r="J539" s="214"/>
      <c r="K539" s="214"/>
    </row>
    <row r="540" spans="1:11" s="175" customFormat="1" ht="11.25" customHeight="1">
      <c r="A540" s="227">
        <v>268</v>
      </c>
      <c r="B540" s="282">
        <v>764195512</v>
      </c>
      <c r="C540" s="224" t="s">
        <v>816</v>
      </c>
      <c r="D540" s="227" t="s">
        <v>63</v>
      </c>
      <c r="E540" s="229">
        <v>478.6</v>
      </c>
      <c r="F540" s="283"/>
      <c r="G540" s="229">
        <f>E540*F540</f>
        <v>0</v>
      </c>
      <c r="H540" s="172"/>
      <c r="I540" s="173"/>
      <c r="J540" s="174"/>
      <c r="K540" s="174"/>
    </row>
    <row r="541" spans="1:11" s="179" customFormat="1" ht="12">
      <c r="A541" s="230"/>
      <c r="B541" s="231" t="s">
        <v>62</v>
      </c>
      <c r="C541" s="231" t="str">
        <f>CONCATENATE(B536," ",C536)</f>
        <v>784 Malby</v>
      </c>
      <c r="D541" s="231"/>
      <c r="E541" s="284"/>
      <c r="F541" s="231"/>
      <c r="G541" s="234">
        <f>SUM(G536:G540)</f>
        <v>0</v>
      </c>
      <c r="H541" s="176"/>
      <c r="I541" s="177"/>
      <c r="J541" s="178"/>
      <c r="K541" s="178"/>
    </row>
    <row r="542" spans="1:11" s="182" customFormat="1" ht="12" customHeight="1">
      <c r="A542" s="342" t="s">
        <v>61</v>
      </c>
      <c r="B542" s="342" t="s">
        <v>90</v>
      </c>
      <c r="C542" s="342" t="s">
        <v>91</v>
      </c>
      <c r="D542" s="343"/>
      <c r="E542" s="344"/>
      <c r="F542" s="345"/>
      <c r="G542" s="345"/>
      <c r="H542" s="140"/>
      <c r="I542" s="180"/>
      <c r="J542" s="181"/>
      <c r="K542" s="181"/>
    </row>
    <row r="543" spans="1:8" ht="11.25" customHeight="1">
      <c r="A543" s="346">
        <v>269</v>
      </c>
      <c r="B543" s="347">
        <v>210000000</v>
      </c>
      <c r="C543" s="348" t="s">
        <v>619</v>
      </c>
      <c r="D543" s="346" t="s">
        <v>49</v>
      </c>
      <c r="E543" s="349">
        <v>1</v>
      </c>
      <c r="F543" s="369"/>
      <c r="G543" s="229">
        <f>E543*F543</f>
        <v>0</v>
      </c>
      <c r="H543" s="136"/>
    </row>
    <row r="544" spans="1:8" ht="12" customHeight="1">
      <c r="A544" s="350"/>
      <c r="B544" s="351" t="s">
        <v>62</v>
      </c>
      <c r="C544" s="231" t="str">
        <f>CONCATENATE(B542," ",C542)</f>
        <v>M-21 Elektromontáže</v>
      </c>
      <c r="D544" s="352"/>
      <c r="E544" s="353"/>
      <c r="F544" s="352"/>
      <c r="G544" s="354">
        <f>SUM(G542:G543)</f>
        <v>0</v>
      </c>
      <c r="H544" s="136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Votavovi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sadilkova</dc:creator>
  <cp:keywords/>
  <dc:description/>
  <cp:lastModifiedBy>sadilkova</cp:lastModifiedBy>
  <cp:lastPrinted>2009-02-18T11:37:21Z</cp:lastPrinted>
  <dcterms:created xsi:type="dcterms:W3CDTF">2006-07-29T14:39:55Z</dcterms:created>
  <dcterms:modified xsi:type="dcterms:W3CDTF">2014-08-04T08:28:16Z</dcterms:modified>
  <cp:category/>
  <cp:version/>
  <cp:contentType/>
  <cp:contentStatus/>
</cp:coreProperties>
</file>