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275" windowHeight="11505" tabRatio="871" activeTab="0"/>
  </bookViews>
  <sheets>
    <sheet name="Vložení cen dle sazeb" sheetId="1" r:id="rId1"/>
    <sheet name="nn" sheetId="2" r:id="rId2"/>
    <sheet name="vn" sheetId="3" r:id="rId3"/>
  </sheets>
  <definedNames/>
  <calcPr fullCalcOnLoad="1"/>
</workbook>
</file>

<file path=xl/comments1.xml><?xml version="1.0" encoding="utf-8"?>
<comments xmlns="http://schemas.openxmlformats.org/spreadsheetml/2006/main">
  <authors>
    <author>dtauber</author>
  </authors>
  <commentList>
    <comment ref="E4" authorId="0">
      <text>
        <r>
          <rPr>
            <sz val="9"/>
            <rFont val="Tahoma"/>
            <family val="2"/>
          </rPr>
          <t xml:space="preserve">Zelené buňky vyplní uchazeč
</t>
        </r>
      </text>
    </comment>
  </commentList>
</comments>
</file>

<file path=xl/comments2.xml><?xml version="1.0" encoding="utf-8"?>
<comments xmlns="http://schemas.openxmlformats.org/spreadsheetml/2006/main">
  <authors>
    <author>dtauber</author>
  </authors>
  <commentList>
    <comment ref="S4" authorId="0">
      <text>
        <r>
          <rPr>
            <sz val="9"/>
            <rFont val="Tahoma"/>
            <family val="0"/>
          </rPr>
          <t xml:space="preserve">
Zelené buňky vyplní uchazeč</t>
        </r>
      </text>
    </comment>
  </commentList>
</comments>
</file>

<file path=xl/comments3.xml><?xml version="1.0" encoding="utf-8"?>
<comments xmlns="http://schemas.openxmlformats.org/spreadsheetml/2006/main">
  <authors>
    <author>dtauber</author>
  </authors>
  <commentList>
    <comment ref="R4" authorId="0">
      <text>
        <r>
          <rPr>
            <sz val="9"/>
            <rFont val="Tahoma"/>
            <family val="0"/>
          </rPr>
          <t xml:space="preserve">
zelené buňky vyplní uchazeč</t>
        </r>
      </text>
    </comment>
  </commentList>
</comments>
</file>

<file path=xl/sharedStrings.xml><?xml version="1.0" encoding="utf-8"?>
<sst xmlns="http://schemas.openxmlformats.org/spreadsheetml/2006/main" count="265" uniqueCount="131">
  <si>
    <t>kWh</t>
  </si>
  <si>
    <t>Dodávka</t>
  </si>
  <si>
    <t>Celkem</t>
  </si>
  <si>
    <t>Číslo měřidla</t>
  </si>
  <si>
    <t>Adresa odběrného místa</t>
  </si>
  <si>
    <t>Smlouva na dobu</t>
  </si>
  <si>
    <t xml:space="preserve">    Ceny bez DPH</t>
  </si>
  <si>
    <t>Odběratel</t>
  </si>
  <si>
    <t>Distribuce</t>
  </si>
  <si>
    <t>Kč</t>
  </si>
  <si>
    <t>EAN</t>
  </si>
  <si>
    <t>Hodnota jističe</t>
  </si>
  <si>
    <t>Charakter odběru (VT,NT)</t>
  </si>
  <si>
    <t>Sazba</t>
  </si>
  <si>
    <t>859182400700237862</t>
  </si>
  <si>
    <t>VT</t>
  </si>
  <si>
    <t>3x80 A</t>
  </si>
  <si>
    <t>Daň       z el.energie</t>
  </si>
  <si>
    <t>NT</t>
  </si>
  <si>
    <t>859182400306060468</t>
  </si>
  <si>
    <t>3x200 A</t>
  </si>
  <si>
    <t>Odběratelé pro e-aukci na dodávku elektrické energie - odběrná místa ze sítě nn</t>
  </si>
  <si>
    <t>Zadavatel: Český metrologický institut (ČMI)</t>
  </si>
  <si>
    <t>ČMI</t>
  </si>
  <si>
    <t>Oblastní inspektorát Liberec</t>
  </si>
  <si>
    <t>Oblastní inspektorát České Budějovice</t>
  </si>
  <si>
    <t>Oblastní inspektorát Plzeň - II</t>
  </si>
  <si>
    <t>Oblastní inspektorát Plzeň - I</t>
  </si>
  <si>
    <t>Oblastní inspektorát Plzeň - III</t>
  </si>
  <si>
    <t>Oblastní inspektorát Most</t>
  </si>
  <si>
    <t>Oblastní inspektorát Pardubice</t>
  </si>
  <si>
    <t>OI Brno - pobočka Jihlava</t>
  </si>
  <si>
    <t>Oblastní inspektorát Kroměříž</t>
  </si>
  <si>
    <t>Oblastní inspektorát Opava</t>
  </si>
  <si>
    <t>Laboratoře primární metrologie Praha - II</t>
  </si>
  <si>
    <t>Laboratoře primární metrologie Praha - I</t>
  </si>
  <si>
    <t>Oblastní inspektorát Olomouc</t>
  </si>
  <si>
    <t>859182400504832003</t>
  </si>
  <si>
    <t>3x44 A</t>
  </si>
  <si>
    <t>nn</t>
  </si>
  <si>
    <t>do 31.12.2011</t>
  </si>
  <si>
    <t>Předpokládaný objem zakázky  01/2012 - 12/2012</t>
  </si>
  <si>
    <t>859182400406914999</t>
  </si>
  <si>
    <t>3x100 A</t>
  </si>
  <si>
    <t>859182400894278580</t>
  </si>
  <si>
    <t>3x37 A</t>
  </si>
  <si>
    <t>859182400893897157</t>
  </si>
  <si>
    <t>3x10 A</t>
  </si>
  <si>
    <t>859182400894278573</t>
  </si>
  <si>
    <t>3x25 A</t>
  </si>
  <si>
    <t>859182400100478902</t>
  </si>
  <si>
    <t>859182400502929460</t>
  </si>
  <si>
    <t>3x32 A</t>
  </si>
  <si>
    <t>859182400306060475</t>
  </si>
  <si>
    <t>859182400406722297</t>
  </si>
  <si>
    <t>859182400200909474</t>
  </si>
  <si>
    <t>859182400201061676</t>
  </si>
  <si>
    <t>3x125 A</t>
  </si>
  <si>
    <t>celkem VT</t>
  </si>
  <si>
    <t>celkem NT</t>
  </si>
  <si>
    <t>Odběratelé pro e-aukci na dodávku elektrické energie - odběrná místa ze sítě vn</t>
  </si>
  <si>
    <t>vn</t>
  </si>
  <si>
    <t>Oblastní inspektorát Praha</t>
  </si>
  <si>
    <t>Oblastní inspektorát Brno</t>
  </si>
  <si>
    <t>TESTCOM Praha</t>
  </si>
  <si>
    <t>859182400300018038</t>
  </si>
  <si>
    <t>80217442</t>
  </si>
  <si>
    <t>Rezervovaná kapacita</t>
  </si>
  <si>
    <t>100 kW</t>
  </si>
  <si>
    <t>spotřeba</t>
  </si>
  <si>
    <t>daň</t>
  </si>
  <si>
    <t>distribuce</t>
  </si>
  <si>
    <t>dodávka</t>
  </si>
  <si>
    <t>celkem</t>
  </si>
  <si>
    <t>měsíc</t>
  </si>
  <si>
    <t>MWh</t>
  </si>
  <si>
    <t>OI Praha</t>
  </si>
  <si>
    <t>8/2011</t>
  </si>
  <si>
    <t>7/2011</t>
  </si>
  <si>
    <t>6/2011</t>
  </si>
  <si>
    <t>5/2011</t>
  </si>
  <si>
    <t>4/2011</t>
  </si>
  <si>
    <t>3/2011</t>
  </si>
  <si>
    <t>2/2011</t>
  </si>
  <si>
    <t>1/2011</t>
  </si>
  <si>
    <t>12/2010</t>
  </si>
  <si>
    <t>11/2010</t>
  </si>
  <si>
    <t>10/2010</t>
  </si>
  <si>
    <t>9/2010</t>
  </si>
  <si>
    <t>Spotřeba za rok</t>
  </si>
  <si>
    <t>859182400200013829</t>
  </si>
  <si>
    <t>150 kW</t>
  </si>
  <si>
    <t>OI Brno</t>
  </si>
  <si>
    <t>859182400300020345</t>
  </si>
  <si>
    <t>76561407</t>
  </si>
  <si>
    <t>250 kW</t>
  </si>
  <si>
    <t>celkem NT+VT</t>
  </si>
  <si>
    <t>Nabídková jednotková cena za dodávku</t>
  </si>
  <si>
    <t>Nabídková celková cena za dodávku</t>
  </si>
  <si>
    <t>Pozn.: Údaje ve sloupcích I až M představují roční hodnoty (z období 2009 - 2010)</t>
  </si>
  <si>
    <t>Kč/MWh</t>
  </si>
  <si>
    <t>45856232</t>
  </si>
  <si>
    <t>69657668</t>
  </si>
  <si>
    <t>68952318</t>
  </si>
  <si>
    <t>69657729</t>
  </si>
  <si>
    <t>1278390</t>
  </si>
  <si>
    <t>72343049</t>
  </si>
  <si>
    <t>4097344</t>
  </si>
  <si>
    <t>68294767</t>
  </si>
  <si>
    <t>19574436</t>
  </si>
  <si>
    <t>43200866</t>
  </si>
  <si>
    <t>94018135</t>
  </si>
  <si>
    <t>Z002418</t>
  </si>
  <si>
    <t>T057931</t>
  </si>
  <si>
    <t>80384394</t>
  </si>
  <si>
    <t>Sazba použití sítí</t>
  </si>
  <si>
    <t>C02d</t>
  </si>
  <si>
    <t>C25d</t>
  </si>
  <si>
    <t>C45d</t>
  </si>
  <si>
    <t>C26d</t>
  </si>
  <si>
    <t>Daň z el. energie</t>
  </si>
  <si>
    <t>Celková cena za distribuci a další regul. služby</t>
  </si>
  <si>
    <t>Celková cena za dodávku, daň a distribuci</t>
  </si>
  <si>
    <t>Síť (odběr)</t>
  </si>
  <si>
    <t>nn (MO)</t>
  </si>
  <si>
    <t>Formulář pro vložení nabídkových cen</t>
  </si>
  <si>
    <t>(souhrn za všechna odběrná místa)</t>
  </si>
  <si>
    <t>vn (VO)</t>
  </si>
  <si>
    <t>x</t>
  </si>
  <si>
    <t>Celkem za nn (MO)</t>
  </si>
  <si>
    <t>Celkem za nn (MO) + vn (VO)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</si>
</sst>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0"/>
    <numFmt numFmtId="172" formatCode="[$-405]d\.\ mmmm\ yyyy"/>
    <numFmt numFmtId="173" formatCode="d/m/yyyy;@"/>
    <numFmt numFmtId="174" formatCode="#,##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name val="Tahoma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900102615356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49" fontId="21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18" borderId="10" xfId="0" applyFill="1" applyBorder="1" applyAlignment="1">
      <alignment vertical="center"/>
    </xf>
    <xf numFmtId="0" fontId="19" fillId="18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49" fontId="0" fillId="0" borderId="17" xfId="0" applyNumberFormat="1" applyBorder="1" applyAlignment="1">
      <alignment vertical="center"/>
    </xf>
    <xf numFmtId="49" fontId="0" fillId="0" borderId="17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center" vertical="center"/>
    </xf>
    <xf numFmtId="4" fontId="25" fillId="0" borderId="17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9" fontId="0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21" xfId="0" applyFont="1" applyBorder="1" applyAlignment="1">
      <alignment/>
    </xf>
    <xf numFmtId="49" fontId="0" fillId="0" borderId="21" xfId="0" applyNumberFormat="1" applyFont="1" applyBorder="1" applyAlignment="1">
      <alignment/>
    </xf>
    <xf numFmtId="166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 vertical="center" wrapText="1"/>
    </xf>
    <xf numFmtId="49" fontId="0" fillId="0" borderId="20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2" fontId="0" fillId="19" borderId="16" xfId="0" applyNumberFormat="1" applyFill="1" applyBorder="1" applyAlignment="1">
      <alignment horizontal="center" vertical="center"/>
    </xf>
    <xf numFmtId="2" fontId="0" fillId="19" borderId="22" xfId="0" applyNumberFormat="1" applyFill="1" applyBorder="1" applyAlignment="1">
      <alignment horizontal="right" vertical="center"/>
    </xf>
    <xf numFmtId="4" fontId="22" fillId="20" borderId="16" xfId="0" applyNumberFormat="1" applyFont="1" applyFill="1" applyBorder="1" applyAlignment="1">
      <alignment horizontal="center" vertical="center"/>
    </xf>
    <xf numFmtId="4" fontId="22" fillId="21" borderId="22" xfId="0" applyNumberFormat="1" applyFont="1" applyFill="1" applyBorder="1" applyAlignment="1">
      <alignment horizontal="center" vertical="center"/>
    </xf>
    <xf numFmtId="49" fontId="19" fillId="20" borderId="16" xfId="0" applyNumberFormat="1" applyFont="1" applyFill="1" applyBorder="1" applyAlignment="1">
      <alignment horizontal="center" vertical="center"/>
    </xf>
    <xf numFmtId="49" fontId="19" fillId="21" borderId="2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9" fontId="0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49" fontId="0" fillId="0" borderId="23" xfId="0" applyNumberFormat="1" applyBorder="1" applyAlignment="1">
      <alignment vertical="center"/>
    </xf>
    <xf numFmtId="49" fontId="0" fillId="0" borderId="23" xfId="0" applyNumberFormat="1" applyBorder="1" applyAlignment="1">
      <alignment horizontal="right" vertical="center"/>
    </xf>
    <xf numFmtId="49" fontId="0" fillId="0" borderId="23" xfId="0" applyNumberForma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49" fontId="0" fillId="0" borderId="24" xfId="0" applyNumberFormat="1" applyFont="1" applyBorder="1" applyAlignment="1">
      <alignment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4" fontId="25" fillId="0" borderId="24" xfId="0" applyNumberFormat="1" applyFont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vertical="center" wrapText="1"/>
    </xf>
    <xf numFmtId="49" fontId="0" fillId="0" borderId="21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174" fontId="21" fillId="0" borderId="16" xfId="0" applyNumberFormat="1" applyFont="1" applyBorder="1" applyAlignment="1">
      <alignment horizontal="right" vertical="center"/>
    </xf>
    <xf numFmtId="4" fontId="21" fillId="0" borderId="16" xfId="0" applyNumberFormat="1" applyFont="1" applyBorder="1" applyAlignment="1">
      <alignment horizontal="right" vertical="center" wrapText="1"/>
    </xf>
    <xf numFmtId="4" fontId="21" fillId="0" borderId="16" xfId="0" applyNumberFormat="1" applyFont="1" applyBorder="1" applyAlignment="1">
      <alignment horizontal="right" vertical="center"/>
    </xf>
    <xf numFmtId="174" fontId="21" fillId="0" borderId="21" xfId="0" applyNumberFormat="1" applyFont="1" applyBorder="1" applyAlignment="1">
      <alignment horizontal="right" vertical="center"/>
    </xf>
    <xf numFmtId="4" fontId="21" fillId="0" borderId="21" xfId="0" applyNumberFormat="1" applyFont="1" applyBorder="1" applyAlignment="1">
      <alignment horizontal="right" vertical="center" wrapText="1"/>
    </xf>
    <xf numFmtId="4" fontId="21" fillId="0" borderId="21" xfId="0" applyNumberFormat="1" applyFont="1" applyBorder="1" applyAlignment="1">
      <alignment horizontal="right" vertical="center"/>
    </xf>
    <xf numFmtId="174" fontId="21" fillId="0" borderId="11" xfId="0" applyNumberFormat="1" applyFont="1" applyBorder="1" applyAlignment="1">
      <alignment horizontal="right" vertical="center"/>
    </xf>
    <xf numFmtId="4" fontId="21" fillId="0" borderId="11" xfId="0" applyNumberFormat="1" applyFont="1" applyBorder="1" applyAlignment="1">
      <alignment horizontal="right" vertical="center" wrapText="1"/>
    </xf>
    <xf numFmtId="4" fontId="21" fillId="0" borderId="11" xfId="0" applyNumberFormat="1" applyFont="1" applyBorder="1" applyAlignment="1">
      <alignment horizontal="right" vertical="center"/>
    </xf>
    <xf numFmtId="0" fontId="21" fillId="0" borderId="16" xfId="0" applyNumberFormat="1" applyFont="1" applyFill="1" applyBorder="1" applyAlignment="1">
      <alignment horizontal="center" vertical="center"/>
    </xf>
    <xf numFmtId="4" fontId="21" fillId="0" borderId="16" xfId="0" applyNumberFormat="1" applyFont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4" fontId="21" fillId="0" borderId="21" xfId="0" applyNumberFormat="1" applyFont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9" fontId="19" fillId="21" borderId="16" xfId="0" applyNumberFormat="1" applyFont="1" applyFill="1" applyBorder="1" applyAlignment="1">
      <alignment horizontal="center" vertical="center"/>
    </xf>
    <xf numFmtId="49" fontId="19" fillId="21" borderId="16" xfId="0" applyNumberFormat="1" applyFont="1" applyFill="1" applyBorder="1" applyAlignment="1">
      <alignment horizontal="right" vertical="center" wrapText="1"/>
    </xf>
    <xf numFmtId="174" fontId="19" fillId="21" borderId="16" xfId="0" applyNumberFormat="1" applyFont="1" applyFill="1" applyBorder="1" applyAlignment="1">
      <alignment horizontal="right" vertical="center"/>
    </xf>
    <xf numFmtId="0" fontId="19" fillId="21" borderId="16" xfId="0" applyFont="1" applyFill="1" applyBorder="1" applyAlignment="1">
      <alignment horizontal="center" vertical="center" wrapText="1"/>
    </xf>
    <xf numFmtId="0" fontId="19" fillId="21" borderId="16" xfId="0" applyNumberFormat="1" applyFont="1" applyFill="1" applyBorder="1" applyAlignment="1">
      <alignment horizontal="center" vertical="center"/>
    </xf>
    <xf numFmtId="4" fontId="19" fillId="21" borderId="16" xfId="0" applyNumberFormat="1" applyFont="1" applyFill="1" applyBorder="1" applyAlignment="1">
      <alignment horizontal="center" vertical="center"/>
    </xf>
    <xf numFmtId="3" fontId="19" fillId="19" borderId="16" xfId="0" applyNumberFormat="1" applyFont="1" applyFill="1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right" vertical="center"/>
    </xf>
    <xf numFmtId="4" fontId="25" fillId="0" borderId="21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 horizontal="center" vertical="center"/>
    </xf>
    <xf numFmtId="4" fontId="25" fillId="0" borderId="16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right" vertical="center"/>
    </xf>
    <xf numFmtId="49" fontId="0" fillId="19" borderId="16" xfId="0" applyNumberFormat="1" applyFill="1" applyBorder="1" applyAlignment="1">
      <alignment horizontal="right" vertical="center" wrapText="1"/>
    </xf>
    <xf numFmtId="49" fontId="0" fillId="19" borderId="22" xfId="0" applyNumberFormat="1" applyFill="1" applyBorder="1" applyAlignment="1">
      <alignment horizontal="right" vertical="center" wrapText="1"/>
    </xf>
    <xf numFmtId="4" fontId="25" fillId="0" borderId="0" xfId="0" applyNumberFormat="1" applyFont="1" applyBorder="1" applyAlignment="1">
      <alignment vertical="center"/>
    </xf>
    <xf numFmtId="4" fontId="25" fillId="0" borderId="25" xfId="0" applyNumberFormat="1" applyFont="1" applyBorder="1" applyAlignment="1">
      <alignment vertical="center"/>
    </xf>
    <xf numFmtId="4" fontId="25" fillId="21" borderId="26" xfId="0" applyNumberFormat="1" applyFont="1" applyFill="1" applyBorder="1" applyAlignment="1">
      <alignment horizontal="center" vertical="center"/>
    </xf>
    <xf numFmtId="4" fontId="25" fillId="21" borderId="16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center" vertical="center"/>
    </xf>
    <xf numFmtId="4" fontId="25" fillId="0" borderId="24" xfId="0" applyNumberFormat="1" applyFont="1" applyFill="1" applyBorder="1" applyAlignment="1">
      <alignment horizontal="center" vertical="center"/>
    </xf>
    <xf numFmtId="4" fontId="25" fillId="0" borderId="23" xfId="0" applyNumberFormat="1" applyFont="1" applyFill="1" applyBorder="1" applyAlignment="1">
      <alignment horizontal="center" vertical="center"/>
    </xf>
    <xf numFmtId="4" fontId="21" fillId="0" borderId="16" xfId="0" applyNumberFormat="1" applyFont="1" applyFill="1" applyBorder="1" applyAlignment="1">
      <alignment horizontal="center" vertical="center"/>
    </xf>
    <xf numFmtId="4" fontId="21" fillId="0" borderId="21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27" xfId="0" applyFont="1" applyBorder="1" applyAlignment="1">
      <alignment horizontal="center" vertical="center" wrapText="1"/>
    </xf>
    <xf numFmtId="49" fontId="21" fillId="0" borderId="28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22" borderId="22" xfId="0" applyFont="1" applyFill="1" applyBorder="1" applyAlignment="1">
      <alignment horizontal="center"/>
    </xf>
    <xf numFmtId="174" fontId="25" fillId="0" borderId="17" xfId="0" applyNumberFormat="1" applyFont="1" applyBorder="1" applyAlignment="1">
      <alignment horizontal="center" vertical="center"/>
    </xf>
    <xf numFmtId="174" fontId="25" fillId="0" borderId="24" xfId="0" applyNumberFormat="1" applyFont="1" applyBorder="1" applyAlignment="1">
      <alignment horizontal="center" vertical="center"/>
    </xf>
    <xf numFmtId="174" fontId="25" fillId="0" borderId="23" xfId="0" applyNumberFormat="1" applyFont="1" applyBorder="1" applyAlignment="1">
      <alignment horizontal="center" vertical="center"/>
    </xf>
    <xf numFmtId="174" fontId="22" fillId="20" borderId="16" xfId="0" applyNumberFormat="1" applyFont="1" applyFill="1" applyBorder="1" applyAlignment="1">
      <alignment horizontal="center" vertical="center"/>
    </xf>
    <xf numFmtId="174" fontId="22" fillId="21" borderId="22" xfId="0" applyNumberFormat="1" applyFont="1" applyFill="1" applyBorder="1" applyAlignment="1">
      <alignment horizontal="center" vertical="center"/>
    </xf>
    <xf numFmtId="174" fontId="0" fillId="0" borderId="16" xfId="0" applyNumberFormat="1" applyBorder="1" applyAlignment="1">
      <alignment horizontal="right" vertical="center"/>
    </xf>
    <xf numFmtId="174" fontId="0" fillId="0" borderId="21" xfId="0" applyNumberFormat="1" applyBorder="1" applyAlignment="1">
      <alignment horizontal="right" vertical="center"/>
    </xf>
    <xf numFmtId="174" fontId="0" fillId="0" borderId="24" xfId="0" applyNumberFormat="1" applyBorder="1" applyAlignment="1">
      <alignment horizontal="right" vertical="center"/>
    </xf>
    <xf numFmtId="174" fontId="0" fillId="0" borderId="22" xfId="0" applyNumberFormat="1" applyBorder="1" applyAlignment="1">
      <alignment horizontal="right" vertical="center"/>
    </xf>
    <xf numFmtId="4" fontId="0" fillId="0" borderId="27" xfId="0" applyNumberFormat="1" applyBorder="1" applyAlignment="1">
      <alignment horizontal="right" vertical="center"/>
    </xf>
    <xf numFmtId="4" fontId="0" fillId="0" borderId="30" xfId="0" applyNumberFormat="1" applyBorder="1" applyAlignment="1">
      <alignment horizontal="right" vertical="center"/>
    </xf>
    <xf numFmtId="4" fontId="0" fillId="0" borderId="31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174" fontId="0" fillId="23" borderId="22" xfId="0" applyNumberFormat="1" applyFill="1" applyBorder="1" applyAlignment="1">
      <alignment horizontal="right"/>
    </xf>
    <xf numFmtId="4" fontId="0" fillId="23" borderId="32" xfId="0" applyNumberFormat="1" applyFill="1" applyBorder="1" applyAlignment="1">
      <alignment horizontal="right"/>
    </xf>
    <xf numFmtId="174" fontId="0" fillId="24" borderId="22" xfId="0" applyNumberFormat="1" applyFill="1" applyBorder="1" applyAlignment="1">
      <alignment horizontal="right"/>
    </xf>
    <xf numFmtId="4" fontId="0" fillId="24" borderId="32" xfId="0" applyNumberFormat="1" applyFill="1" applyBorder="1" applyAlignment="1">
      <alignment horizontal="right"/>
    </xf>
    <xf numFmtId="4" fontId="0" fillId="25" borderId="16" xfId="0" applyNumberFormat="1" applyFill="1" applyBorder="1" applyAlignment="1" applyProtection="1">
      <alignment horizontal="right" vertical="center"/>
      <protection locked="0"/>
    </xf>
    <xf numFmtId="4" fontId="0" fillId="25" borderId="21" xfId="0" applyNumberFormat="1" applyFill="1" applyBorder="1" applyAlignment="1" applyProtection="1">
      <alignment horizontal="right" vertical="center"/>
      <protection locked="0"/>
    </xf>
    <xf numFmtId="4" fontId="0" fillId="25" borderId="24" xfId="0" applyNumberFormat="1" applyFill="1" applyBorder="1" applyAlignment="1" applyProtection="1">
      <alignment horizontal="right" vertical="center"/>
      <protection locked="0"/>
    </xf>
    <xf numFmtId="4" fontId="0" fillId="25" borderId="22" xfId="0" applyNumberFormat="1" applyFill="1" applyBorder="1" applyAlignment="1" applyProtection="1">
      <alignment horizontal="right" vertical="center"/>
      <protection locked="0"/>
    </xf>
    <xf numFmtId="4" fontId="21" fillId="26" borderId="16" xfId="0" applyNumberFormat="1" applyFont="1" applyFill="1" applyBorder="1" applyAlignment="1" applyProtection="1">
      <alignment horizontal="center" vertical="center"/>
      <protection locked="0"/>
    </xf>
    <xf numFmtId="4" fontId="21" fillId="26" borderId="21" xfId="0" applyNumberFormat="1" applyFont="1" applyFill="1" applyBorder="1" applyAlignment="1" applyProtection="1">
      <alignment horizontal="center" vertical="center"/>
      <protection locked="0"/>
    </xf>
    <xf numFmtId="4" fontId="21" fillId="26" borderId="11" xfId="0" applyNumberFormat="1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>
      <alignment horizontal="left"/>
    </xf>
    <xf numFmtId="0" fontId="0" fillId="24" borderId="34" xfId="0" applyFont="1" applyFill="1" applyBorder="1" applyAlignment="1">
      <alignment horizontal="left"/>
    </xf>
    <xf numFmtId="0" fontId="0" fillId="24" borderId="35" xfId="0" applyFont="1" applyFill="1" applyBorder="1" applyAlignment="1">
      <alignment horizontal="left"/>
    </xf>
    <xf numFmtId="0" fontId="0" fillId="23" borderId="33" xfId="0" applyFont="1" applyFill="1" applyBorder="1" applyAlignment="1">
      <alignment horizontal="left"/>
    </xf>
    <xf numFmtId="0" fontId="0" fillId="23" borderId="34" xfId="0" applyFont="1" applyFill="1" applyBorder="1" applyAlignment="1">
      <alignment horizontal="left"/>
    </xf>
    <xf numFmtId="0" fontId="0" fillId="23" borderId="35" xfId="0" applyFont="1" applyFill="1" applyBorder="1" applyAlignment="1">
      <alignment horizontal="left"/>
    </xf>
    <xf numFmtId="0" fontId="19" fillId="18" borderId="36" xfId="0" applyFont="1" applyFill="1" applyBorder="1" applyAlignment="1">
      <alignment horizontal="center" vertical="center" wrapText="1"/>
    </xf>
    <xf numFmtId="0" fontId="19" fillId="18" borderId="37" xfId="0" applyFont="1" applyFill="1" applyBorder="1" applyAlignment="1">
      <alignment horizontal="center" vertical="center" wrapText="1"/>
    </xf>
    <xf numFmtId="0" fontId="19" fillId="18" borderId="16" xfId="0" applyFont="1" applyFill="1" applyBorder="1" applyAlignment="1">
      <alignment horizontal="center" vertical="center" wrapText="1"/>
    </xf>
    <xf numFmtId="0" fontId="19" fillId="18" borderId="11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25" fillId="26" borderId="24" xfId="0" applyNumberFormat="1" applyFont="1" applyFill="1" applyBorder="1" applyAlignment="1" applyProtection="1">
      <alignment horizontal="center" vertical="center" wrapText="1"/>
      <protection locked="0"/>
    </xf>
    <xf numFmtId="4" fontId="25" fillId="26" borderId="23" xfId="0" applyNumberFormat="1" applyFont="1" applyFill="1" applyBorder="1" applyAlignment="1" applyProtection="1">
      <alignment horizontal="center" vertical="center" wrapText="1"/>
      <protection locked="0"/>
    </xf>
    <xf numFmtId="4" fontId="25" fillId="26" borderId="17" xfId="0" applyNumberFormat="1" applyFont="1" applyFill="1" applyBorder="1" applyAlignment="1" applyProtection="1">
      <alignment horizontal="center" vertical="center" wrapText="1"/>
      <protection locked="0"/>
    </xf>
    <xf numFmtId="4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14" xfId="0" applyNumberFormat="1" applyFont="1" applyFill="1" applyBorder="1" applyAlignment="1">
      <alignment horizontal="center" vertical="center"/>
    </xf>
    <xf numFmtId="4" fontId="22" fillId="20" borderId="10" xfId="0" applyNumberFormat="1" applyFont="1" applyFill="1" applyBorder="1" applyAlignment="1">
      <alignment horizontal="center" vertical="center"/>
    </xf>
    <xf numFmtId="4" fontId="25" fillId="26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4" fontId="25" fillId="0" borderId="24" xfId="0" applyNumberFormat="1" applyFont="1" applyBorder="1" applyAlignment="1">
      <alignment horizontal="center" vertical="center" wrapText="1"/>
    </xf>
    <xf numFmtId="4" fontId="25" fillId="0" borderId="23" xfId="0" applyNumberFormat="1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0" fillId="18" borderId="14" xfId="0" applyNumberFormat="1" applyFont="1" applyFill="1" applyBorder="1" applyAlignment="1">
      <alignment horizontal="center" vertical="center"/>
    </xf>
    <xf numFmtId="49" fontId="0" fillId="18" borderId="17" xfId="0" applyNumberFormat="1" applyFont="1" applyFill="1" applyBorder="1" applyAlignment="1">
      <alignment horizontal="center" vertical="center"/>
    </xf>
    <xf numFmtId="49" fontId="0" fillId="18" borderId="10" xfId="0" applyNumberFormat="1" applyFont="1" applyFill="1" applyBorder="1" applyAlignment="1">
      <alignment horizontal="center" vertical="center"/>
    </xf>
    <xf numFmtId="4" fontId="25" fillId="0" borderId="21" xfId="0" applyNumberFormat="1" applyFont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 horizontal="center" vertical="center"/>
    </xf>
    <xf numFmtId="4" fontId="25" fillId="0" borderId="16" xfId="0" applyNumberFormat="1" applyFont="1" applyBorder="1" applyAlignment="1">
      <alignment horizontal="center" vertical="center"/>
    </xf>
    <xf numFmtId="4" fontId="25" fillId="0" borderId="24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173" fontId="0" fillId="0" borderId="14" xfId="0" applyNumberFormat="1" applyFont="1" applyBorder="1" applyAlignment="1">
      <alignment horizontal="center" vertical="center"/>
    </xf>
    <xf numFmtId="173" fontId="0" fillId="0" borderId="17" xfId="0" applyNumberFormat="1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3" max="3" width="10.28125" style="0" customWidth="1"/>
    <col min="4" max="4" width="18.57421875" style="0" customWidth="1"/>
    <col min="5" max="5" width="14.140625" style="0" customWidth="1"/>
    <col min="6" max="6" width="13.7109375" style="0" customWidth="1"/>
  </cols>
  <sheetData>
    <row r="1" ht="20.25">
      <c r="A1" s="10" t="s">
        <v>125</v>
      </c>
    </row>
    <row r="2" ht="15.75">
      <c r="A2" s="121" t="s">
        <v>126</v>
      </c>
    </row>
    <row r="3" ht="33" customHeight="1" thickBot="1"/>
    <row r="4" spans="1:6" ht="51">
      <c r="A4" s="161" t="s">
        <v>123</v>
      </c>
      <c r="B4" s="163" t="s">
        <v>115</v>
      </c>
      <c r="C4" s="165" t="s">
        <v>12</v>
      </c>
      <c r="D4" s="34" t="s">
        <v>41</v>
      </c>
      <c r="E4" s="34" t="s">
        <v>97</v>
      </c>
      <c r="F4" s="122" t="s">
        <v>98</v>
      </c>
    </row>
    <row r="5" spans="1:6" ht="13.5" thickBot="1">
      <c r="A5" s="162"/>
      <c r="B5" s="164"/>
      <c r="C5" s="166"/>
      <c r="D5" s="5" t="s">
        <v>75</v>
      </c>
      <c r="E5" s="5" t="s">
        <v>100</v>
      </c>
      <c r="F5" s="123" t="s">
        <v>9</v>
      </c>
    </row>
    <row r="6" spans="1:6" ht="12.75">
      <c r="A6" s="167" t="s">
        <v>124</v>
      </c>
      <c r="B6" s="173" t="s">
        <v>116</v>
      </c>
      <c r="C6" s="124" t="s">
        <v>15</v>
      </c>
      <c r="D6" s="136">
        <f>nn!P8+nn!P10+nn!P12+nn!P26+nn!P30</f>
        <v>48.629999999999995</v>
      </c>
      <c r="E6" s="148"/>
      <c r="F6" s="140">
        <f>D6*E6</f>
        <v>0</v>
      </c>
    </row>
    <row r="7" spans="1:6" ht="12.75">
      <c r="A7" s="168"/>
      <c r="B7" s="172"/>
      <c r="C7" s="125" t="s">
        <v>18</v>
      </c>
      <c r="D7" s="137">
        <f>nn!P9+nn!P11+nn!P13+nn!P27+nn!P31</f>
        <v>0</v>
      </c>
      <c r="E7" s="149"/>
      <c r="F7" s="141">
        <f aca="true" t="shared" si="0" ref="F7:F13">D7*E7</f>
        <v>0</v>
      </c>
    </row>
    <row r="8" spans="1:6" ht="12.75">
      <c r="A8" s="168"/>
      <c r="B8" s="170" t="s">
        <v>117</v>
      </c>
      <c r="C8" s="125" t="s">
        <v>15</v>
      </c>
      <c r="D8" s="137">
        <f>nn!P6+nn!P14+nn!P16+nn!P18+nn!P20+nn!P24</f>
        <v>90.4</v>
      </c>
      <c r="E8" s="149"/>
      <c r="F8" s="141">
        <f t="shared" si="0"/>
        <v>0</v>
      </c>
    </row>
    <row r="9" spans="1:6" ht="12.75">
      <c r="A9" s="168"/>
      <c r="B9" s="172"/>
      <c r="C9" s="125" t="s">
        <v>18</v>
      </c>
      <c r="D9" s="137">
        <f>nn!P7+nn!P15+nn!P17+nn!P19+nn!P21+nn!P25</f>
        <v>78.10000000000001</v>
      </c>
      <c r="E9" s="149"/>
      <c r="F9" s="141">
        <f t="shared" si="0"/>
        <v>0</v>
      </c>
    </row>
    <row r="10" spans="1:6" ht="12.75">
      <c r="A10" s="168"/>
      <c r="B10" s="170" t="s">
        <v>119</v>
      </c>
      <c r="C10" s="125" t="s">
        <v>15</v>
      </c>
      <c r="D10" s="137">
        <f>nn!P28</f>
        <v>156.6</v>
      </c>
      <c r="E10" s="149"/>
      <c r="F10" s="141">
        <f t="shared" si="0"/>
        <v>0</v>
      </c>
    </row>
    <row r="11" spans="1:6" ht="12.75">
      <c r="A11" s="168"/>
      <c r="B11" s="172"/>
      <c r="C11" s="125" t="s">
        <v>18</v>
      </c>
      <c r="D11" s="137">
        <f>nn!P29</f>
        <v>64.6</v>
      </c>
      <c r="E11" s="149"/>
      <c r="F11" s="141">
        <f t="shared" si="0"/>
        <v>0</v>
      </c>
    </row>
    <row r="12" spans="1:6" ht="12.75">
      <c r="A12" s="168"/>
      <c r="B12" s="170" t="s">
        <v>118</v>
      </c>
      <c r="C12" s="125" t="s">
        <v>15</v>
      </c>
      <c r="D12" s="137">
        <f>nn!P22</f>
        <v>1.8</v>
      </c>
      <c r="E12" s="149"/>
      <c r="F12" s="141">
        <f t="shared" si="0"/>
        <v>0</v>
      </c>
    </row>
    <row r="13" spans="1:6" ht="13.5" thickBot="1">
      <c r="A13" s="169"/>
      <c r="B13" s="171"/>
      <c r="C13" s="126" t="s">
        <v>18</v>
      </c>
      <c r="D13" s="138">
        <f>nn!P23</f>
        <v>7.8</v>
      </c>
      <c r="E13" s="150"/>
      <c r="F13" s="142">
        <f t="shared" si="0"/>
        <v>0</v>
      </c>
    </row>
    <row r="14" spans="1:6" ht="13.5" thickBot="1">
      <c r="A14" s="158" t="s">
        <v>129</v>
      </c>
      <c r="B14" s="159"/>
      <c r="C14" s="160"/>
      <c r="D14" s="144">
        <f>SUM(D6:D13)</f>
        <v>447.93000000000006</v>
      </c>
      <c r="E14" s="130" t="s">
        <v>128</v>
      </c>
      <c r="F14" s="145">
        <f>SUM(F6:F13)</f>
        <v>0</v>
      </c>
    </row>
    <row r="15" spans="1:6" ht="13.5" thickBot="1">
      <c r="A15" s="127" t="s">
        <v>127</v>
      </c>
      <c r="B15" s="128"/>
      <c r="C15" s="129" t="s">
        <v>15</v>
      </c>
      <c r="D15" s="139">
        <f>vn!O6+vn!O7+vn!O8</f>
        <v>2360</v>
      </c>
      <c r="E15" s="151"/>
      <c r="F15" s="143">
        <f>D15*E15</f>
        <v>0</v>
      </c>
    </row>
    <row r="16" spans="1:6" ht="13.5" thickBot="1">
      <c r="A16" s="155" t="s">
        <v>130</v>
      </c>
      <c r="B16" s="156"/>
      <c r="C16" s="157"/>
      <c r="D16" s="146">
        <f>D14+D15</f>
        <v>2807.9300000000003</v>
      </c>
      <c r="E16" s="130" t="s">
        <v>128</v>
      </c>
      <c r="F16" s="147">
        <f>F14+F15</f>
        <v>0</v>
      </c>
    </row>
  </sheetData>
  <sheetProtection password="8D99" sheet="1"/>
  <mergeCells count="10">
    <mergeCell ref="A16:C16"/>
    <mergeCell ref="A14:C14"/>
    <mergeCell ref="A4:A5"/>
    <mergeCell ref="B4:B5"/>
    <mergeCell ref="C4:C5"/>
    <mergeCell ref="A6:A13"/>
    <mergeCell ref="B12:B13"/>
    <mergeCell ref="B10:B11"/>
    <mergeCell ref="B8:B9"/>
    <mergeCell ref="B6:B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="75" zoomScaleNormal="75" zoomScaleSheetLayoutView="100" zoomScalePageLayoutView="0" workbookViewId="0" topLeftCell="D1">
      <selection activeCell="S6" sqref="S6:S7"/>
    </sheetView>
  </sheetViews>
  <sheetFormatPr defaultColWidth="9.140625" defaultRowHeight="12.75"/>
  <cols>
    <col min="1" max="1" width="1.28515625" style="0" customWidth="1"/>
    <col min="2" max="2" width="12.57421875" style="0" customWidth="1"/>
    <col min="3" max="3" width="37.8515625" style="0" customWidth="1"/>
    <col min="4" max="4" width="22.28125" style="0" customWidth="1"/>
    <col min="5" max="6" width="11.421875" style="0" customWidth="1"/>
    <col min="7" max="7" width="16.28125" style="0" customWidth="1"/>
    <col min="8" max="9" width="8.8515625" style="0" customWidth="1"/>
    <col min="10" max="10" width="13.00390625" style="0" customWidth="1"/>
    <col min="11" max="11" width="10.00390625" style="0" customWidth="1"/>
    <col min="12" max="12" width="8.421875" style="0" customWidth="1"/>
    <col min="13" max="13" width="8.57421875" style="0" customWidth="1"/>
    <col min="14" max="14" width="10.140625" style="0" customWidth="1"/>
    <col min="15" max="15" width="15.421875" style="0" customWidth="1"/>
    <col min="16" max="16" width="18.57421875" style="0" customWidth="1"/>
    <col min="17" max="17" width="18.140625" style="0" customWidth="1"/>
    <col min="18" max="18" width="17.7109375" style="0" customWidth="1"/>
    <col min="19" max="19" width="11.8515625" style="0" customWidth="1"/>
    <col min="20" max="20" width="16.57421875" style="0" customWidth="1"/>
    <col min="21" max="21" width="21.7109375" style="0" customWidth="1"/>
  </cols>
  <sheetData>
    <row r="1" spans="1:17" ht="20.25">
      <c r="A1" s="8"/>
      <c r="B1" s="10" t="s">
        <v>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3.25" customHeight="1" thickBot="1">
      <c r="A3" s="8"/>
      <c r="B3" s="1" t="s">
        <v>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1" ht="42" customHeight="1">
      <c r="A4" s="11"/>
      <c r="B4" s="14" t="s">
        <v>7</v>
      </c>
      <c r="C4" s="15" t="s">
        <v>4</v>
      </c>
      <c r="D4" s="23" t="s">
        <v>10</v>
      </c>
      <c r="E4" s="22" t="s">
        <v>3</v>
      </c>
      <c r="F4" s="22" t="s">
        <v>11</v>
      </c>
      <c r="G4" s="22" t="s">
        <v>12</v>
      </c>
      <c r="H4" s="25" t="s">
        <v>13</v>
      </c>
      <c r="I4" s="25" t="s">
        <v>115</v>
      </c>
      <c r="J4" s="17" t="s">
        <v>89</v>
      </c>
      <c r="K4" s="17"/>
      <c r="L4" s="16" t="s">
        <v>6</v>
      </c>
      <c r="M4" s="18"/>
      <c r="N4" s="18"/>
      <c r="O4" s="23" t="s">
        <v>5</v>
      </c>
      <c r="P4" s="33" t="s">
        <v>41</v>
      </c>
      <c r="Q4" s="34" t="s">
        <v>97</v>
      </c>
      <c r="R4" s="34" t="s">
        <v>98</v>
      </c>
      <c r="S4" s="34" t="s">
        <v>120</v>
      </c>
      <c r="T4" s="34" t="s">
        <v>121</v>
      </c>
      <c r="U4" s="34" t="s">
        <v>122</v>
      </c>
    </row>
    <row r="5" spans="1:21" ht="23.25" thickBot="1">
      <c r="A5" s="11"/>
      <c r="B5" s="9"/>
      <c r="C5" s="4"/>
      <c r="D5" s="4"/>
      <c r="E5" s="6"/>
      <c r="F5" s="6"/>
      <c r="G5" s="7"/>
      <c r="H5" s="24"/>
      <c r="I5" s="24"/>
      <c r="J5" s="19" t="s">
        <v>0</v>
      </c>
      <c r="K5" s="20" t="s">
        <v>17</v>
      </c>
      <c r="L5" s="21" t="s">
        <v>8</v>
      </c>
      <c r="M5" s="21" t="s">
        <v>1</v>
      </c>
      <c r="N5" s="21" t="s">
        <v>2</v>
      </c>
      <c r="O5" s="4"/>
      <c r="P5" s="5" t="s">
        <v>75</v>
      </c>
      <c r="Q5" s="5" t="s">
        <v>100</v>
      </c>
      <c r="R5" s="5" t="s">
        <v>9</v>
      </c>
      <c r="S5" s="5" t="s">
        <v>9</v>
      </c>
      <c r="T5" s="5" t="s">
        <v>9</v>
      </c>
      <c r="U5" s="5" t="s">
        <v>9</v>
      </c>
    </row>
    <row r="6" spans="1:21" ht="12.75" customHeight="1">
      <c r="A6" s="12"/>
      <c r="B6" s="188" t="s">
        <v>23</v>
      </c>
      <c r="C6" s="57" t="s">
        <v>25</v>
      </c>
      <c r="D6" s="58" t="s">
        <v>50</v>
      </c>
      <c r="E6" s="103" t="s">
        <v>101</v>
      </c>
      <c r="F6" s="59" t="s">
        <v>16</v>
      </c>
      <c r="G6" s="59" t="s">
        <v>15</v>
      </c>
      <c r="H6" s="191" t="s">
        <v>39</v>
      </c>
      <c r="I6" s="30" t="s">
        <v>117</v>
      </c>
      <c r="J6" s="30">
        <v>3906</v>
      </c>
      <c r="K6" s="185">
        <v>996.75</v>
      </c>
      <c r="L6" s="185">
        <v>36271.34</v>
      </c>
      <c r="M6" s="30">
        <v>7350.93</v>
      </c>
      <c r="N6" s="197">
        <f>K6+L6+M6+M7</f>
        <v>103551.82999999999</v>
      </c>
      <c r="O6" s="173" t="s">
        <v>40</v>
      </c>
      <c r="P6" s="131">
        <v>3.9</v>
      </c>
      <c r="Q6" s="115">
        <f>'Vložení cen dle sazeb'!E8</f>
        <v>0</v>
      </c>
      <c r="R6" s="30">
        <f>P6*Q6</f>
        <v>0</v>
      </c>
      <c r="S6" s="180"/>
      <c r="T6" s="180"/>
      <c r="U6" s="30">
        <f aca="true" t="shared" si="0" ref="U6:U31">R6+S6+T6</f>
        <v>0</v>
      </c>
    </row>
    <row r="7" spans="1:21" ht="12.75">
      <c r="A7" s="12"/>
      <c r="B7" s="189"/>
      <c r="C7" s="60"/>
      <c r="D7" s="61"/>
      <c r="E7" s="62"/>
      <c r="F7" s="63"/>
      <c r="G7" s="64" t="s">
        <v>18</v>
      </c>
      <c r="H7" s="192"/>
      <c r="I7" s="30"/>
      <c r="J7" s="30">
        <v>31315</v>
      </c>
      <c r="K7" s="186"/>
      <c r="L7" s="186"/>
      <c r="M7" s="30">
        <v>58932.81</v>
      </c>
      <c r="N7" s="198"/>
      <c r="O7" s="181"/>
      <c r="P7" s="131">
        <v>31.3</v>
      </c>
      <c r="Q7" s="115">
        <f>'Vložení cen dle sazeb'!E9</f>
        <v>0</v>
      </c>
      <c r="R7" s="30">
        <f>P7*Q7</f>
        <v>0</v>
      </c>
      <c r="S7" s="176"/>
      <c r="T7" s="176"/>
      <c r="U7" s="30">
        <f t="shared" si="0"/>
        <v>0</v>
      </c>
    </row>
    <row r="8" spans="1:21" ht="12.75">
      <c r="A8" s="12"/>
      <c r="B8" s="189"/>
      <c r="C8" s="65" t="s">
        <v>27</v>
      </c>
      <c r="D8" s="66" t="s">
        <v>44</v>
      </c>
      <c r="E8" s="104" t="s">
        <v>102</v>
      </c>
      <c r="F8" s="67" t="s">
        <v>45</v>
      </c>
      <c r="G8" s="67" t="s">
        <v>15</v>
      </c>
      <c r="H8" s="192"/>
      <c r="I8" s="69" t="s">
        <v>116</v>
      </c>
      <c r="J8" s="69">
        <v>2645.3</v>
      </c>
      <c r="K8" s="183">
        <v>105.87</v>
      </c>
      <c r="L8" s="183">
        <v>10448.46</v>
      </c>
      <c r="M8" s="69">
        <v>7103.67</v>
      </c>
      <c r="N8" s="194">
        <f>K8+L8+M8+M9</f>
        <v>17658</v>
      </c>
      <c r="O8" s="181"/>
      <c r="P8" s="132">
        <v>2.64</v>
      </c>
      <c r="Q8" s="116">
        <f>'Vložení cen dle sazeb'!E6</f>
        <v>0</v>
      </c>
      <c r="R8" s="69">
        <f aca="true" t="shared" si="1" ref="R8:R31">P8*Q8</f>
        <v>0</v>
      </c>
      <c r="S8" s="174"/>
      <c r="T8" s="174"/>
      <c r="U8" s="69">
        <f t="shared" si="0"/>
        <v>0</v>
      </c>
    </row>
    <row r="9" spans="1:21" ht="12.75">
      <c r="A9" s="12"/>
      <c r="B9" s="189"/>
      <c r="C9" s="26"/>
      <c r="D9" s="27"/>
      <c r="E9" s="28"/>
      <c r="F9" s="29"/>
      <c r="G9" s="31" t="s">
        <v>18</v>
      </c>
      <c r="H9" s="192"/>
      <c r="I9" s="70"/>
      <c r="J9" s="70">
        <v>0</v>
      </c>
      <c r="K9" s="184"/>
      <c r="L9" s="184"/>
      <c r="M9" s="70"/>
      <c r="N9" s="194"/>
      <c r="O9" s="181"/>
      <c r="P9" s="133">
        <v>0</v>
      </c>
      <c r="Q9" s="117">
        <f>'Vložení cen dle sazeb'!E7</f>
        <v>0</v>
      </c>
      <c r="R9" s="70">
        <f t="shared" si="1"/>
        <v>0</v>
      </c>
      <c r="S9" s="175"/>
      <c r="T9" s="175"/>
      <c r="U9" s="70">
        <f t="shared" si="0"/>
        <v>0</v>
      </c>
    </row>
    <row r="10" spans="1:21" ht="12.75">
      <c r="A10" s="12"/>
      <c r="B10" s="189"/>
      <c r="C10" s="65" t="s">
        <v>26</v>
      </c>
      <c r="D10" s="66" t="s">
        <v>46</v>
      </c>
      <c r="E10" s="104" t="s">
        <v>103</v>
      </c>
      <c r="F10" s="67" t="s">
        <v>47</v>
      </c>
      <c r="G10" s="67" t="s">
        <v>15</v>
      </c>
      <c r="H10" s="192"/>
      <c r="I10" s="69" t="s">
        <v>116</v>
      </c>
      <c r="J10" s="69">
        <v>591.9</v>
      </c>
      <c r="K10" s="183">
        <v>23.69</v>
      </c>
      <c r="L10" s="183">
        <v>2387.57</v>
      </c>
      <c r="M10" s="69">
        <v>1589.35</v>
      </c>
      <c r="N10" s="194">
        <f>K10+L10+M10+M11</f>
        <v>4000.61</v>
      </c>
      <c r="O10" s="181"/>
      <c r="P10" s="132">
        <v>0.59</v>
      </c>
      <c r="Q10" s="116">
        <f>'Vložení cen dle sazeb'!E6</f>
        <v>0</v>
      </c>
      <c r="R10" s="69">
        <f t="shared" si="1"/>
        <v>0</v>
      </c>
      <c r="S10" s="174"/>
      <c r="T10" s="174"/>
      <c r="U10" s="69">
        <f t="shared" si="0"/>
        <v>0</v>
      </c>
    </row>
    <row r="11" spans="1:21" ht="12.75">
      <c r="A11" s="12"/>
      <c r="B11" s="189"/>
      <c r="C11" s="60"/>
      <c r="D11" s="61"/>
      <c r="E11" s="62"/>
      <c r="F11" s="63"/>
      <c r="G11" s="64" t="s">
        <v>18</v>
      </c>
      <c r="H11" s="192"/>
      <c r="I11" s="70"/>
      <c r="J11" s="70">
        <v>0</v>
      </c>
      <c r="K11" s="184"/>
      <c r="L11" s="184"/>
      <c r="M11" s="70"/>
      <c r="N11" s="194"/>
      <c r="O11" s="181"/>
      <c r="P11" s="133">
        <v>0</v>
      </c>
      <c r="Q11" s="117">
        <f>'Vložení cen dle sazeb'!E7</f>
        <v>0</v>
      </c>
      <c r="R11" s="70">
        <f t="shared" si="1"/>
        <v>0</v>
      </c>
      <c r="S11" s="175"/>
      <c r="T11" s="175"/>
      <c r="U11" s="70">
        <f t="shared" si="0"/>
        <v>0</v>
      </c>
    </row>
    <row r="12" spans="1:21" ht="12.75">
      <c r="A12" s="12"/>
      <c r="B12" s="189"/>
      <c r="C12" s="65" t="s">
        <v>28</v>
      </c>
      <c r="D12" s="66" t="s">
        <v>48</v>
      </c>
      <c r="E12" s="104" t="s">
        <v>104</v>
      </c>
      <c r="F12" s="67" t="s">
        <v>49</v>
      </c>
      <c r="G12" s="67" t="s">
        <v>15</v>
      </c>
      <c r="H12" s="192"/>
      <c r="I12" s="69" t="s">
        <v>116</v>
      </c>
      <c r="J12" s="69">
        <v>188.8</v>
      </c>
      <c r="K12" s="183">
        <v>7.55</v>
      </c>
      <c r="L12" s="183">
        <v>1790.71</v>
      </c>
      <c r="M12" s="69">
        <v>507.01</v>
      </c>
      <c r="N12" s="194">
        <f>K12+L12+M12+M13</f>
        <v>2305.27</v>
      </c>
      <c r="O12" s="181"/>
      <c r="P12" s="132">
        <v>0.2</v>
      </c>
      <c r="Q12" s="116">
        <f>'Vložení cen dle sazeb'!E6</f>
        <v>0</v>
      </c>
      <c r="R12" s="69">
        <f t="shared" si="1"/>
        <v>0</v>
      </c>
      <c r="S12" s="174"/>
      <c r="T12" s="174"/>
      <c r="U12" s="69">
        <f t="shared" si="0"/>
        <v>0</v>
      </c>
    </row>
    <row r="13" spans="1:21" ht="12.75">
      <c r="A13" s="12"/>
      <c r="B13" s="189"/>
      <c r="C13" s="60"/>
      <c r="D13" s="61"/>
      <c r="E13" s="62"/>
      <c r="F13" s="63"/>
      <c r="G13" s="64" t="s">
        <v>18</v>
      </c>
      <c r="H13" s="192"/>
      <c r="I13" s="70"/>
      <c r="J13" s="70">
        <v>0</v>
      </c>
      <c r="K13" s="184"/>
      <c r="L13" s="184"/>
      <c r="M13" s="70"/>
      <c r="N13" s="194"/>
      <c r="O13" s="181"/>
      <c r="P13" s="133">
        <v>0</v>
      </c>
      <c r="Q13" s="117">
        <f>'Vložení cen dle sazeb'!E7</f>
        <v>0</v>
      </c>
      <c r="R13" s="70">
        <f t="shared" si="1"/>
        <v>0</v>
      </c>
      <c r="S13" s="175"/>
      <c r="T13" s="175"/>
      <c r="U13" s="70">
        <f t="shared" si="0"/>
        <v>0</v>
      </c>
    </row>
    <row r="14" spans="1:21" ht="12.75">
      <c r="A14" s="12"/>
      <c r="B14" s="189"/>
      <c r="C14" s="65" t="s">
        <v>24</v>
      </c>
      <c r="D14" s="66" t="s">
        <v>42</v>
      </c>
      <c r="E14" s="104" t="s">
        <v>105</v>
      </c>
      <c r="F14" s="67" t="s">
        <v>43</v>
      </c>
      <c r="G14" s="67" t="s">
        <v>15</v>
      </c>
      <c r="H14" s="192"/>
      <c r="I14" s="69" t="s">
        <v>117</v>
      </c>
      <c r="J14" s="69">
        <v>30940</v>
      </c>
      <c r="K14" s="183">
        <v>1295.01</v>
      </c>
      <c r="L14" s="183">
        <v>80638.12</v>
      </c>
      <c r="M14" s="69">
        <v>55897.7</v>
      </c>
      <c r="N14" s="194">
        <f>K14+L14+M14+M15</f>
        <v>164653.72999999998</v>
      </c>
      <c r="O14" s="181"/>
      <c r="P14" s="132">
        <v>30.9</v>
      </c>
      <c r="Q14" s="116">
        <f>'Vložení cen dle sazeb'!E8</f>
        <v>0</v>
      </c>
      <c r="R14" s="69">
        <f t="shared" si="1"/>
        <v>0</v>
      </c>
      <c r="S14" s="174"/>
      <c r="T14" s="174"/>
      <c r="U14" s="69">
        <f t="shared" si="0"/>
        <v>0</v>
      </c>
    </row>
    <row r="15" spans="1:21" ht="12.75">
      <c r="A15" s="12"/>
      <c r="B15" s="189"/>
      <c r="C15" s="60"/>
      <c r="D15" s="61"/>
      <c r="E15" s="62"/>
      <c r="F15" s="63"/>
      <c r="G15" s="64" t="s">
        <v>18</v>
      </c>
      <c r="H15" s="192"/>
      <c r="I15" s="70"/>
      <c r="J15" s="70">
        <v>14820</v>
      </c>
      <c r="K15" s="184"/>
      <c r="L15" s="184"/>
      <c r="M15" s="70">
        <v>26822.9</v>
      </c>
      <c r="N15" s="194"/>
      <c r="O15" s="181"/>
      <c r="P15" s="133">
        <v>14.8</v>
      </c>
      <c r="Q15" s="117">
        <f>'Vložení cen dle sazeb'!E9</f>
        <v>0</v>
      </c>
      <c r="R15" s="70">
        <f t="shared" si="1"/>
        <v>0</v>
      </c>
      <c r="S15" s="175"/>
      <c r="T15" s="175"/>
      <c r="U15" s="70">
        <f t="shared" si="0"/>
        <v>0</v>
      </c>
    </row>
    <row r="16" spans="1:21" ht="12.75">
      <c r="A16" s="12"/>
      <c r="B16" s="189"/>
      <c r="C16" s="65" t="s">
        <v>29</v>
      </c>
      <c r="D16" s="66" t="s">
        <v>54</v>
      </c>
      <c r="E16" s="104" t="s">
        <v>106</v>
      </c>
      <c r="F16" s="67" t="s">
        <v>49</v>
      </c>
      <c r="G16" s="67" t="s">
        <v>15</v>
      </c>
      <c r="H16" s="192"/>
      <c r="I16" s="69" t="s">
        <v>117</v>
      </c>
      <c r="J16" s="69">
        <v>4720</v>
      </c>
      <c r="K16" s="183">
        <v>192.38</v>
      </c>
      <c r="L16" s="183">
        <v>14054.77</v>
      </c>
      <c r="M16" s="69">
        <v>8783.84</v>
      </c>
      <c r="N16" s="194">
        <f>K16+L16+M16+M17</f>
        <v>26897.679999999997</v>
      </c>
      <c r="O16" s="181"/>
      <c r="P16" s="132">
        <v>4.7</v>
      </c>
      <c r="Q16" s="116">
        <f>'Vložení cen dle sazeb'!E8</f>
        <v>0</v>
      </c>
      <c r="R16" s="69">
        <f t="shared" si="1"/>
        <v>0</v>
      </c>
      <c r="S16" s="174"/>
      <c r="T16" s="174"/>
      <c r="U16" s="69">
        <f t="shared" si="0"/>
        <v>0</v>
      </c>
    </row>
    <row r="17" spans="1:21" ht="12.75">
      <c r="A17" s="12"/>
      <c r="B17" s="189"/>
      <c r="C17" s="60"/>
      <c r="D17" s="61"/>
      <c r="E17" s="62"/>
      <c r="F17" s="63"/>
      <c r="G17" s="64" t="s">
        <v>18</v>
      </c>
      <c r="H17" s="192"/>
      <c r="I17" s="70"/>
      <c r="J17" s="70">
        <v>2078</v>
      </c>
      <c r="K17" s="184"/>
      <c r="L17" s="184"/>
      <c r="M17" s="70">
        <v>3866.69</v>
      </c>
      <c r="N17" s="194"/>
      <c r="O17" s="181"/>
      <c r="P17" s="133">
        <v>2.1</v>
      </c>
      <c r="Q17" s="117">
        <f>'Vložení cen dle sazeb'!E9</f>
        <v>0</v>
      </c>
      <c r="R17" s="70">
        <f t="shared" si="1"/>
        <v>0</v>
      </c>
      <c r="S17" s="175"/>
      <c r="T17" s="175"/>
      <c r="U17" s="70">
        <f t="shared" si="0"/>
        <v>0</v>
      </c>
    </row>
    <row r="18" spans="1:21" ht="12.75">
      <c r="A18" s="12"/>
      <c r="B18" s="189"/>
      <c r="C18" s="65" t="s">
        <v>30</v>
      </c>
      <c r="D18" s="66" t="s">
        <v>14</v>
      </c>
      <c r="E18" s="104" t="s">
        <v>107</v>
      </c>
      <c r="F18" s="67" t="s">
        <v>16</v>
      </c>
      <c r="G18" s="67" t="s">
        <v>15</v>
      </c>
      <c r="H18" s="192"/>
      <c r="I18" s="69" t="s">
        <v>117</v>
      </c>
      <c r="J18" s="69">
        <v>22986</v>
      </c>
      <c r="K18" s="183">
        <v>1033.58</v>
      </c>
      <c r="L18" s="183">
        <v>58883.66</v>
      </c>
      <c r="M18" s="69">
        <v>43126.83</v>
      </c>
      <c r="N18" s="194">
        <f>K18+L18+M18+M19</f>
        <v>128497.1</v>
      </c>
      <c r="O18" s="181"/>
      <c r="P18" s="132">
        <v>23</v>
      </c>
      <c r="Q18" s="116">
        <f>'Vložení cen dle sazeb'!E8</f>
        <v>0</v>
      </c>
      <c r="R18" s="69">
        <f t="shared" si="1"/>
        <v>0</v>
      </c>
      <c r="S18" s="174"/>
      <c r="T18" s="174"/>
      <c r="U18" s="69">
        <f t="shared" si="0"/>
        <v>0</v>
      </c>
    </row>
    <row r="19" spans="1:21" ht="12.75">
      <c r="A19" s="12"/>
      <c r="B19" s="189"/>
      <c r="C19" s="60"/>
      <c r="D19" s="61"/>
      <c r="E19" s="62"/>
      <c r="F19" s="63"/>
      <c r="G19" s="64" t="s">
        <v>18</v>
      </c>
      <c r="H19" s="192"/>
      <c r="I19" s="70"/>
      <c r="J19" s="70">
        <v>13535</v>
      </c>
      <c r="K19" s="184"/>
      <c r="L19" s="184"/>
      <c r="M19" s="70">
        <v>25453.03</v>
      </c>
      <c r="N19" s="194"/>
      <c r="O19" s="181"/>
      <c r="P19" s="133">
        <v>13.5</v>
      </c>
      <c r="Q19" s="117">
        <f>'Vložení cen dle sazeb'!E9</f>
        <v>0</v>
      </c>
      <c r="R19" s="70">
        <f t="shared" si="1"/>
        <v>0</v>
      </c>
      <c r="S19" s="175"/>
      <c r="T19" s="175"/>
      <c r="U19" s="70">
        <f t="shared" si="0"/>
        <v>0</v>
      </c>
    </row>
    <row r="20" spans="1:21" ht="12.75">
      <c r="A20" s="12"/>
      <c r="B20" s="189"/>
      <c r="C20" s="65" t="s">
        <v>31</v>
      </c>
      <c r="D20" s="66" t="s">
        <v>56</v>
      </c>
      <c r="E20" s="104" t="s">
        <v>108</v>
      </c>
      <c r="F20" s="67" t="s">
        <v>57</v>
      </c>
      <c r="G20" s="67" t="s">
        <v>15</v>
      </c>
      <c r="H20" s="192"/>
      <c r="I20" s="69" t="s">
        <v>117</v>
      </c>
      <c r="J20" s="69">
        <f>10782.17+8447.83+3150</f>
        <v>22380</v>
      </c>
      <c r="K20" s="183">
        <f>133.29+817.59</f>
        <v>950.88</v>
      </c>
      <c r="L20" s="183">
        <v>69003.88</v>
      </c>
      <c r="M20" s="69">
        <f>19354+15163.85+6277.95</f>
        <v>40795.799999999996</v>
      </c>
      <c r="N20" s="194">
        <f>K20+L20+M20+M21</f>
        <v>131199.34</v>
      </c>
      <c r="O20" s="181"/>
      <c r="P20" s="132">
        <v>22.4</v>
      </c>
      <c r="Q20" s="116">
        <f>'Vložení cen dle sazeb'!E8</f>
        <v>0</v>
      </c>
      <c r="R20" s="69">
        <f t="shared" si="1"/>
        <v>0</v>
      </c>
      <c r="S20" s="174"/>
      <c r="T20" s="174"/>
      <c r="U20" s="69">
        <f t="shared" si="0"/>
        <v>0</v>
      </c>
    </row>
    <row r="21" spans="1:21" ht="12.75">
      <c r="A21" s="12"/>
      <c r="B21" s="189"/>
      <c r="C21" s="60"/>
      <c r="D21" s="61"/>
      <c r="E21" s="62"/>
      <c r="F21" s="63"/>
      <c r="G21" s="64" t="s">
        <v>18</v>
      </c>
      <c r="H21" s="192"/>
      <c r="I21" s="70"/>
      <c r="J21" s="70">
        <f>5416.32+4243.68+1560</f>
        <v>11220</v>
      </c>
      <c r="K21" s="184"/>
      <c r="L21" s="184"/>
      <c r="M21" s="70">
        <f>9722.29+7617.41+3109.08</f>
        <v>20448.78</v>
      </c>
      <c r="N21" s="194"/>
      <c r="O21" s="181"/>
      <c r="P21" s="133">
        <v>11.2</v>
      </c>
      <c r="Q21" s="117">
        <f>'Vložení cen dle sazeb'!E9</f>
        <v>0</v>
      </c>
      <c r="R21" s="70">
        <f t="shared" si="1"/>
        <v>0</v>
      </c>
      <c r="S21" s="175"/>
      <c r="T21" s="175"/>
      <c r="U21" s="70">
        <f t="shared" si="0"/>
        <v>0</v>
      </c>
    </row>
    <row r="22" spans="1:21" ht="12.75">
      <c r="A22" s="12"/>
      <c r="B22" s="189"/>
      <c r="C22" s="65" t="s">
        <v>32</v>
      </c>
      <c r="D22" s="66" t="s">
        <v>55</v>
      </c>
      <c r="E22" s="104" t="s">
        <v>109</v>
      </c>
      <c r="F22" s="67" t="s">
        <v>52</v>
      </c>
      <c r="G22" s="67" t="s">
        <v>15</v>
      </c>
      <c r="H22" s="192"/>
      <c r="I22" s="69" t="s">
        <v>118</v>
      </c>
      <c r="J22" s="69">
        <f>495+1322</f>
        <v>1817</v>
      </c>
      <c r="K22" s="183">
        <f>73.92+197.19</f>
        <v>271.11</v>
      </c>
      <c r="L22" s="183">
        <v>17340.48</v>
      </c>
      <c r="M22" s="69">
        <f>962.78+2313.5</f>
        <v>3276.2799999999997</v>
      </c>
      <c r="N22" s="194">
        <f>K22+L22+M22+M23</f>
        <v>34885.94</v>
      </c>
      <c r="O22" s="181"/>
      <c r="P22" s="132">
        <v>1.8</v>
      </c>
      <c r="Q22" s="116">
        <f>'Vložení cen dle sazeb'!E12</f>
        <v>0</v>
      </c>
      <c r="R22" s="69">
        <f t="shared" si="1"/>
        <v>0</v>
      </c>
      <c r="S22" s="174"/>
      <c r="T22" s="174"/>
      <c r="U22" s="69">
        <f t="shared" si="0"/>
        <v>0</v>
      </c>
    </row>
    <row r="23" spans="1:21" ht="12.75">
      <c r="A23" s="12"/>
      <c r="B23" s="189"/>
      <c r="C23" s="60"/>
      <c r="D23" s="61"/>
      <c r="E23" s="62"/>
      <c r="F23" s="63"/>
      <c r="G23" s="64" t="s">
        <v>18</v>
      </c>
      <c r="H23" s="192"/>
      <c r="I23" s="70"/>
      <c r="J23" s="70">
        <f>2117+5646</f>
        <v>7763</v>
      </c>
      <c r="K23" s="184"/>
      <c r="L23" s="184"/>
      <c r="M23" s="70">
        <f>4117.57+9880.5</f>
        <v>13998.07</v>
      </c>
      <c r="N23" s="194"/>
      <c r="O23" s="181"/>
      <c r="P23" s="133">
        <v>7.8</v>
      </c>
      <c r="Q23" s="117">
        <f>'Vložení cen dle sazeb'!E13</f>
        <v>0</v>
      </c>
      <c r="R23" s="70">
        <f t="shared" si="1"/>
        <v>0</v>
      </c>
      <c r="S23" s="175"/>
      <c r="T23" s="175"/>
      <c r="U23" s="70">
        <f t="shared" si="0"/>
        <v>0</v>
      </c>
    </row>
    <row r="24" spans="1:21" ht="12.75">
      <c r="A24" s="12"/>
      <c r="B24" s="189"/>
      <c r="C24" s="65" t="s">
        <v>33</v>
      </c>
      <c r="D24" s="66" t="s">
        <v>51</v>
      </c>
      <c r="E24" s="104" t="s">
        <v>110</v>
      </c>
      <c r="F24" s="67" t="s">
        <v>52</v>
      </c>
      <c r="G24" s="67" t="s">
        <v>15</v>
      </c>
      <c r="H24" s="192"/>
      <c r="I24" s="69" t="s">
        <v>117</v>
      </c>
      <c r="J24" s="69">
        <f>1342+2417.3+1741.7</f>
        <v>5501</v>
      </c>
      <c r="K24" s="183">
        <f>77.13+225.96</f>
        <v>303.09000000000003</v>
      </c>
      <c r="L24" s="183">
        <v>16552.43</v>
      </c>
      <c r="M24" s="69">
        <f>2674.61+4339.05+3126.35</f>
        <v>10140.01</v>
      </c>
      <c r="N24" s="194">
        <f>K24+L24+M24+M25</f>
        <v>36619.619999999995</v>
      </c>
      <c r="O24" s="181"/>
      <c r="P24" s="132">
        <v>5.5</v>
      </c>
      <c r="Q24" s="116">
        <f>'Vložení cen dle sazeb'!E8</f>
        <v>0</v>
      </c>
      <c r="R24" s="69">
        <f t="shared" si="1"/>
        <v>0</v>
      </c>
      <c r="S24" s="174"/>
      <c r="T24" s="174"/>
      <c r="U24" s="69">
        <f t="shared" si="0"/>
        <v>0</v>
      </c>
    </row>
    <row r="25" spans="1:21" ht="12.75">
      <c r="A25" s="12"/>
      <c r="B25" s="189"/>
      <c r="C25" s="60"/>
      <c r="D25" s="61"/>
      <c r="E25" s="62"/>
      <c r="F25" s="63"/>
      <c r="G25" s="64" t="s">
        <v>18</v>
      </c>
      <c r="H25" s="192"/>
      <c r="I25" s="70"/>
      <c r="J25" s="70">
        <f>1383.5+2223.46+1602.04</f>
        <v>5209</v>
      </c>
      <c r="K25" s="184"/>
      <c r="L25" s="184"/>
      <c r="M25" s="70">
        <f>2757.32+3991.11+2875.66</f>
        <v>9624.09</v>
      </c>
      <c r="N25" s="194"/>
      <c r="O25" s="181"/>
      <c r="P25" s="133">
        <v>5.2</v>
      </c>
      <c r="Q25" s="117">
        <f>'Vložení cen dle sazeb'!E9</f>
        <v>0</v>
      </c>
      <c r="R25" s="70">
        <f t="shared" si="1"/>
        <v>0</v>
      </c>
      <c r="S25" s="175"/>
      <c r="T25" s="175"/>
      <c r="U25" s="70">
        <f t="shared" si="0"/>
        <v>0</v>
      </c>
    </row>
    <row r="26" spans="1:21" ht="12.75">
      <c r="A26" s="12"/>
      <c r="B26" s="189"/>
      <c r="C26" s="68" t="s">
        <v>36</v>
      </c>
      <c r="D26" s="66" t="s">
        <v>37</v>
      </c>
      <c r="E26" s="104" t="s">
        <v>111</v>
      </c>
      <c r="F26" s="67" t="s">
        <v>38</v>
      </c>
      <c r="G26" s="67" t="s">
        <v>15</v>
      </c>
      <c r="H26" s="192"/>
      <c r="I26" s="69" t="s">
        <v>116</v>
      </c>
      <c r="J26" s="69">
        <f>2449.22+3847.48+532.3</f>
        <v>6829</v>
      </c>
      <c r="K26" s="183">
        <v>193.26</v>
      </c>
      <c r="L26" s="183">
        <v>18427.44</v>
      </c>
      <c r="M26" s="69">
        <f>4506.56+7079.36+1069.92</f>
        <v>12655.84</v>
      </c>
      <c r="N26" s="194">
        <f>K26+L26+M26+M27</f>
        <v>31276.539999999997</v>
      </c>
      <c r="O26" s="181"/>
      <c r="P26" s="132">
        <v>6.8</v>
      </c>
      <c r="Q26" s="116">
        <f>'Vložení cen dle sazeb'!E6</f>
        <v>0</v>
      </c>
      <c r="R26" s="69">
        <f t="shared" si="1"/>
        <v>0</v>
      </c>
      <c r="S26" s="174"/>
      <c r="T26" s="174"/>
      <c r="U26" s="69">
        <f t="shared" si="0"/>
        <v>0</v>
      </c>
    </row>
    <row r="27" spans="1:21" ht="12.75">
      <c r="A27" s="12"/>
      <c r="B27" s="189"/>
      <c r="C27" s="60"/>
      <c r="D27" s="61"/>
      <c r="E27" s="62"/>
      <c r="F27" s="63"/>
      <c r="G27" s="64" t="s">
        <v>18</v>
      </c>
      <c r="H27" s="192"/>
      <c r="I27" s="70"/>
      <c r="J27" s="70">
        <v>0</v>
      </c>
      <c r="K27" s="184"/>
      <c r="L27" s="184"/>
      <c r="M27" s="70"/>
      <c r="N27" s="194"/>
      <c r="O27" s="181"/>
      <c r="P27" s="133">
        <v>0</v>
      </c>
      <c r="Q27" s="117">
        <f>'Vložení cen dle sazeb'!E7</f>
        <v>0</v>
      </c>
      <c r="R27" s="70">
        <f t="shared" si="1"/>
        <v>0</v>
      </c>
      <c r="S27" s="175"/>
      <c r="T27" s="175"/>
      <c r="U27" s="70">
        <f t="shared" si="0"/>
        <v>0</v>
      </c>
    </row>
    <row r="28" spans="1:21" ht="12.75">
      <c r="A28" s="12"/>
      <c r="B28" s="189"/>
      <c r="C28" s="65" t="s">
        <v>35</v>
      </c>
      <c r="D28" s="66" t="s">
        <v>19</v>
      </c>
      <c r="E28" s="104" t="s">
        <v>112</v>
      </c>
      <c r="F28" s="67" t="s">
        <v>20</v>
      </c>
      <c r="G28" s="67" t="s">
        <v>15</v>
      </c>
      <c r="H28" s="192"/>
      <c r="I28" s="69" t="s">
        <v>119</v>
      </c>
      <c r="J28" s="69">
        <f>95160+15520+45960</f>
        <v>156640</v>
      </c>
      <c r="K28" s="183">
        <v>6255.43</v>
      </c>
      <c r="L28" s="183">
        <v>310964.54</v>
      </c>
      <c r="M28" s="69">
        <f>170812.2+30496.8+90311.4</f>
        <v>291620.4</v>
      </c>
      <c r="N28" s="194">
        <f>K28+L28+M28+M29</f>
        <v>728735.97</v>
      </c>
      <c r="O28" s="181"/>
      <c r="P28" s="132">
        <v>156.6</v>
      </c>
      <c r="Q28" s="116">
        <f>'Vložení cen dle sazeb'!E10</f>
        <v>0</v>
      </c>
      <c r="R28" s="69">
        <f t="shared" si="1"/>
        <v>0</v>
      </c>
      <c r="S28" s="174"/>
      <c r="T28" s="174"/>
      <c r="U28" s="69">
        <f t="shared" si="0"/>
        <v>0</v>
      </c>
    </row>
    <row r="29" spans="1:21" ht="12.75">
      <c r="A29" s="12"/>
      <c r="B29" s="189"/>
      <c r="C29" s="60"/>
      <c r="D29" s="61"/>
      <c r="E29" s="62"/>
      <c r="F29" s="63"/>
      <c r="G29" s="64" t="s">
        <v>18</v>
      </c>
      <c r="H29" s="192"/>
      <c r="I29" s="70"/>
      <c r="J29" s="70">
        <f>39120+6360+18920</f>
        <v>64400</v>
      </c>
      <c r="K29" s="184"/>
      <c r="L29" s="184"/>
      <c r="M29" s="70">
        <f>70220.4+12497.4+37177.8</f>
        <v>119895.59999999999</v>
      </c>
      <c r="N29" s="194"/>
      <c r="O29" s="181"/>
      <c r="P29" s="133">
        <v>64.6</v>
      </c>
      <c r="Q29" s="117">
        <f>'Vložení cen dle sazeb'!E11</f>
        <v>0</v>
      </c>
      <c r="R29" s="70">
        <f t="shared" si="1"/>
        <v>0</v>
      </c>
      <c r="S29" s="175"/>
      <c r="T29" s="175"/>
      <c r="U29" s="70">
        <f t="shared" si="0"/>
        <v>0</v>
      </c>
    </row>
    <row r="30" spans="1:21" ht="12.75">
      <c r="A30" s="12"/>
      <c r="B30" s="189"/>
      <c r="C30" s="26" t="s">
        <v>34</v>
      </c>
      <c r="D30" s="32" t="s">
        <v>53</v>
      </c>
      <c r="E30" s="39" t="s">
        <v>113</v>
      </c>
      <c r="F30" s="31" t="s">
        <v>43</v>
      </c>
      <c r="G30" s="31" t="s">
        <v>15</v>
      </c>
      <c r="H30" s="192"/>
      <c r="I30" s="30" t="s">
        <v>116</v>
      </c>
      <c r="J30" s="30">
        <f>24096+14293</f>
        <v>38389</v>
      </c>
      <c r="K30" s="186">
        <v>1086.41</v>
      </c>
      <c r="L30" s="186">
        <v>99214.46</v>
      </c>
      <c r="M30" s="30">
        <f>44336.64+28728.93</f>
        <v>73065.57</v>
      </c>
      <c r="N30" s="195">
        <f>K30+L30+M30+M31</f>
        <v>173366.44</v>
      </c>
      <c r="O30" s="181"/>
      <c r="P30" s="131">
        <v>38.4</v>
      </c>
      <c r="Q30" s="115">
        <f>'Vložení cen dle sazeb'!E6</f>
        <v>0</v>
      </c>
      <c r="R30" s="30">
        <f t="shared" si="1"/>
        <v>0</v>
      </c>
      <c r="S30" s="176"/>
      <c r="T30" s="176"/>
      <c r="U30" s="69">
        <f t="shared" si="0"/>
        <v>0</v>
      </c>
    </row>
    <row r="31" spans="1:21" ht="13.5" thickBot="1">
      <c r="A31" s="12"/>
      <c r="B31" s="190"/>
      <c r="C31" s="26"/>
      <c r="D31" s="27"/>
      <c r="E31" s="28"/>
      <c r="F31" s="29"/>
      <c r="G31" s="31" t="s">
        <v>18</v>
      </c>
      <c r="H31" s="193"/>
      <c r="I31" s="30"/>
      <c r="J31" s="30">
        <v>0</v>
      </c>
      <c r="K31" s="187"/>
      <c r="L31" s="187"/>
      <c r="M31" s="30"/>
      <c r="N31" s="196"/>
      <c r="O31" s="181"/>
      <c r="P31" s="131">
        <v>0</v>
      </c>
      <c r="Q31" s="115">
        <f>'Vložení cen dle sazeb'!E7</f>
        <v>0</v>
      </c>
      <c r="R31" s="30">
        <f t="shared" si="1"/>
        <v>0</v>
      </c>
      <c r="S31" s="177"/>
      <c r="T31" s="177"/>
      <c r="U31" s="70">
        <f t="shared" si="0"/>
        <v>0</v>
      </c>
    </row>
    <row r="32" spans="1:21" ht="25.5" customHeight="1" thickBot="1">
      <c r="A32" s="12"/>
      <c r="B32" s="182" t="s">
        <v>99</v>
      </c>
      <c r="C32" s="182"/>
      <c r="D32" s="182"/>
      <c r="E32" s="182"/>
      <c r="F32" s="36"/>
      <c r="G32" s="55" t="s">
        <v>58</v>
      </c>
      <c r="H32" s="109"/>
      <c r="I32" s="109"/>
      <c r="J32" s="53">
        <f>SUMIF($G$6:$G$31,"VT",J6:J31)</f>
        <v>297534</v>
      </c>
      <c r="K32" s="178">
        <f>SUM(K6:K31)</f>
        <v>12715.01</v>
      </c>
      <c r="L32" s="178">
        <f>SUM(L6:L31)</f>
        <v>735977.8599999999</v>
      </c>
      <c r="M32" s="53">
        <f>SUMIF($G$6:$G$31,"VT",M6:M31)</f>
        <v>555913.23</v>
      </c>
      <c r="N32" s="178">
        <f>SUM(N6:N31)</f>
        <v>1583648.0699999998</v>
      </c>
      <c r="O32" s="181"/>
      <c r="P32" s="134">
        <f>SUMIF($G$6:$G$31,"VT",P6:P31)</f>
        <v>297.42999999999995</v>
      </c>
      <c r="Q32" s="51"/>
      <c r="R32" s="53">
        <f>SUMIF($G$6:$G$31,"VT",R6:R31)</f>
        <v>0</v>
      </c>
      <c r="S32" s="178">
        <f>SUM(S6:S31)</f>
        <v>0</v>
      </c>
      <c r="T32" s="178">
        <f>SUM(T6:T31)</f>
        <v>0</v>
      </c>
      <c r="U32" s="178">
        <f>SUM(U6:U31)</f>
        <v>0</v>
      </c>
    </row>
    <row r="33" spans="2:21" ht="28.5" customHeight="1" thickBot="1">
      <c r="B33" s="38"/>
      <c r="C33" s="2"/>
      <c r="D33" s="2"/>
      <c r="E33" s="2"/>
      <c r="F33" s="2"/>
      <c r="G33" s="55" t="s">
        <v>59</v>
      </c>
      <c r="H33" s="109"/>
      <c r="I33" s="109"/>
      <c r="J33" s="53">
        <f>SUMIF($G$6:$G$31,"NT",J6:J31)</f>
        <v>150340</v>
      </c>
      <c r="K33" s="179"/>
      <c r="L33" s="179"/>
      <c r="M33" s="53">
        <f>SUMIF($G$6:$G$31,"NT",M6:M31)</f>
        <v>279041.97</v>
      </c>
      <c r="N33" s="179"/>
      <c r="O33" s="181"/>
      <c r="P33" s="134">
        <f>SUMIF($G$6:$G$31,"NT",P6:P31)</f>
        <v>150.5</v>
      </c>
      <c r="Q33" s="51"/>
      <c r="R33" s="53">
        <f>SUMIF($G$6:$G$31,"NT",R6:R31)</f>
        <v>0</v>
      </c>
      <c r="S33" s="179"/>
      <c r="T33" s="179"/>
      <c r="U33" s="179"/>
    </row>
    <row r="34" spans="2:21" ht="21.75" customHeight="1" thickBot="1">
      <c r="B34" s="3"/>
      <c r="C34" s="2"/>
      <c r="D34" s="2"/>
      <c r="E34" s="2"/>
      <c r="F34" s="2"/>
      <c r="G34" s="56" t="s">
        <v>96</v>
      </c>
      <c r="H34" s="110"/>
      <c r="I34" s="110"/>
      <c r="J34" s="54">
        <f>J32+J33</f>
        <v>447874</v>
      </c>
      <c r="K34" s="54">
        <f>K32+K33</f>
        <v>12715.01</v>
      </c>
      <c r="L34" s="54">
        <f>L32+L33</f>
        <v>735977.8599999999</v>
      </c>
      <c r="M34" s="54">
        <f>M32+M33</f>
        <v>834955.2</v>
      </c>
      <c r="N34" s="54">
        <f>N32+N33</f>
        <v>1583648.0699999998</v>
      </c>
      <c r="O34" s="171"/>
      <c r="P34" s="135">
        <f>P32+P33</f>
        <v>447.92999999999995</v>
      </c>
      <c r="Q34" s="52"/>
      <c r="R34" s="54">
        <f>R32+R33</f>
        <v>0</v>
      </c>
      <c r="S34" s="54">
        <f>S32+S33</f>
        <v>0</v>
      </c>
      <c r="T34" s="54">
        <f>T32+T33</f>
        <v>0</v>
      </c>
      <c r="U34" s="54">
        <f>U32+U33</f>
        <v>0</v>
      </c>
    </row>
    <row r="35" spans="2:17" ht="12.75"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</sheetData>
  <sheetProtection password="8D99" sheet="1"/>
  <mergeCells count="75">
    <mergeCell ref="N14:N15"/>
    <mergeCell ref="N12:N13"/>
    <mergeCell ref="N24:N25"/>
    <mergeCell ref="N22:N23"/>
    <mergeCell ref="N6:N7"/>
    <mergeCell ref="N8:N9"/>
    <mergeCell ref="L22:L23"/>
    <mergeCell ref="N10:N11"/>
    <mergeCell ref="N30:N31"/>
    <mergeCell ref="N28:N29"/>
    <mergeCell ref="N26:N27"/>
    <mergeCell ref="L24:L25"/>
    <mergeCell ref="L26:L27"/>
    <mergeCell ref="N20:N21"/>
    <mergeCell ref="N18:N19"/>
    <mergeCell ref="N16:N17"/>
    <mergeCell ref="K20:K21"/>
    <mergeCell ref="B6:B31"/>
    <mergeCell ref="H6:H31"/>
    <mergeCell ref="L28:L29"/>
    <mergeCell ref="L30:L31"/>
    <mergeCell ref="K18:K19"/>
    <mergeCell ref="K16:K17"/>
    <mergeCell ref="L16:L17"/>
    <mergeCell ref="L18:L19"/>
    <mergeCell ref="L20:L21"/>
    <mergeCell ref="L10:L11"/>
    <mergeCell ref="L12:L13"/>
    <mergeCell ref="L14:L15"/>
    <mergeCell ref="K6:K7"/>
    <mergeCell ref="K8:K9"/>
    <mergeCell ref="K30:K31"/>
    <mergeCell ref="K28:K29"/>
    <mergeCell ref="K26:K27"/>
    <mergeCell ref="K24:K25"/>
    <mergeCell ref="K22:K23"/>
    <mergeCell ref="K32:K33"/>
    <mergeCell ref="L32:L33"/>
    <mergeCell ref="N32:N33"/>
    <mergeCell ref="O6:O34"/>
    <mergeCell ref="B32:E32"/>
    <mergeCell ref="K14:K15"/>
    <mergeCell ref="K12:K13"/>
    <mergeCell ref="K10:K11"/>
    <mergeCell ref="L6:L7"/>
    <mergeCell ref="L8:L9"/>
    <mergeCell ref="S32:S33"/>
    <mergeCell ref="T32:T33"/>
    <mergeCell ref="U32:U33"/>
    <mergeCell ref="S6:S7"/>
    <mergeCell ref="T6:T7"/>
    <mergeCell ref="S8:S9"/>
    <mergeCell ref="T8:T9"/>
    <mergeCell ref="S10:S11"/>
    <mergeCell ref="T10:T11"/>
    <mergeCell ref="S12:S13"/>
    <mergeCell ref="T12:T13"/>
    <mergeCell ref="S14:S15"/>
    <mergeCell ref="T14:T15"/>
    <mergeCell ref="S16:S17"/>
    <mergeCell ref="T16:T17"/>
    <mergeCell ref="S18:S19"/>
    <mergeCell ref="T18:T19"/>
    <mergeCell ref="S20:S21"/>
    <mergeCell ref="T20:T21"/>
    <mergeCell ref="S22:S23"/>
    <mergeCell ref="T22:T23"/>
    <mergeCell ref="S24:S25"/>
    <mergeCell ref="T24:T25"/>
    <mergeCell ref="S26:S27"/>
    <mergeCell ref="T26:T27"/>
    <mergeCell ref="S28:S29"/>
    <mergeCell ref="T28:T29"/>
    <mergeCell ref="S30:S31"/>
    <mergeCell ref="T30:T31"/>
  </mergeCells>
  <printOptions/>
  <pageMargins left="0" right="0" top="0.984251968503937" bottom="0.984251968503937" header="0.5118110236220472" footer="0.5118110236220472"/>
  <pageSetup fitToHeight="0" fitToWidth="1" horizontalDpi="600" verticalDpi="600" orientation="landscape" paperSize="8" scale="9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zoomScale="75" zoomScaleNormal="75" zoomScaleSheetLayoutView="100" zoomScalePageLayoutView="0" workbookViewId="0" topLeftCell="D1">
      <selection activeCell="R6" sqref="R6"/>
    </sheetView>
  </sheetViews>
  <sheetFormatPr defaultColWidth="9.140625" defaultRowHeight="12.75"/>
  <cols>
    <col min="1" max="1" width="1.28515625" style="0" customWidth="1"/>
    <col min="2" max="2" width="12.57421875" style="0" customWidth="1"/>
    <col min="3" max="3" width="37.8515625" style="0" customWidth="1"/>
    <col min="4" max="4" width="22.28125" style="0" customWidth="1"/>
    <col min="5" max="5" width="11.421875" style="0" customWidth="1"/>
    <col min="6" max="6" width="14.8515625" style="0" customWidth="1"/>
    <col min="7" max="7" width="11.8515625" style="0" customWidth="1"/>
    <col min="8" max="8" width="8.8515625" style="0" customWidth="1"/>
    <col min="9" max="9" width="13.00390625" style="0" customWidth="1"/>
    <col min="10" max="10" width="14.8515625" style="0" customWidth="1"/>
    <col min="11" max="11" width="14.28125" style="0" customWidth="1"/>
    <col min="12" max="12" width="14.421875" style="0" customWidth="1"/>
    <col min="13" max="13" width="16.140625" style="0" customWidth="1"/>
    <col min="14" max="14" width="19.00390625" style="0" customWidth="1"/>
    <col min="15" max="15" width="18.57421875" style="0" customWidth="1"/>
    <col min="16" max="16" width="18.140625" style="0" customWidth="1"/>
    <col min="17" max="17" width="15.7109375" style="0" customWidth="1"/>
    <col min="18" max="18" width="12.00390625" style="0" customWidth="1"/>
    <col min="19" max="19" width="12.7109375" style="0" customWidth="1"/>
    <col min="20" max="20" width="21.140625" style="0" customWidth="1"/>
  </cols>
  <sheetData>
    <row r="1" spans="1:16" ht="20.25">
      <c r="A1" s="8"/>
      <c r="B1" s="10" t="s">
        <v>60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3.25" customHeight="1" thickBot="1">
      <c r="A3" s="8"/>
      <c r="B3" s="1" t="s">
        <v>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0" ht="42" customHeight="1">
      <c r="A4" s="11"/>
      <c r="B4" s="14" t="s">
        <v>7</v>
      </c>
      <c r="C4" s="15" t="s">
        <v>4</v>
      </c>
      <c r="D4" s="23" t="s">
        <v>10</v>
      </c>
      <c r="E4" s="22" t="s">
        <v>3</v>
      </c>
      <c r="F4" s="22" t="s">
        <v>67</v>
      </c>
      <c r="G4" s="22" t="s">
        <v>12</v>
      </c>
      <c r="H4" s="25" t="s">
        <v>13</v>
      </c>
      <c r="I4" s="17" t="s">
        <v>89</v>
      </c>
      <c r="J4" s="199" t="s">
        <v>6</v>
      </c>
      <c r="K4" s="200"/>
      <c r="L4" s="200"/>
      <c r="M4" s="201"/>
      <c r="N4" s="13" t="s">
        <v>5</v>
      </c>
      <c r="O4" s="33" t="s">
        <v>41</v>
      </c>
      <c r="P4" s="34" t="s">
        <v>97</v>
      </c>
      <c r="Q4" s="34" t="s">
        <v>98</v>
      </c>
      <c r="R4" s="34" t="s">
        <v>120</v>
      </c>
      <c r="S4" s="34" t="s">
        <v>121</v>
      </c>
      <c r="T4" s="34" t="s">
        <v>122</v>
      </c>
    </row>
    <row r="5" spans="1:20" ht="23.25" thickBot="1">
      <c r="A5" s="11"/>
      <c r="B5" s="9"/>
      <c r="C5" s="4"/>
      <c r="D5" s="4"/>
      <c r="E5" s="6"/>
      <c r="F5" s="6"/>
      <c r="G5" s="7"/>
      <c r="H5" s="24"/>
      <c r="I5" s="19" t="s">
        <v>75</v>
      </c>
      <c r="J5" s="20" t="s">
        <v>17</v>
      </c>
      <c r="K5" s="21" t="s">
        <v>8</v>
      </c>
      <c r="L5" s="21" t="s">
        <v>1</v>
      </c>
      <c r="M5" s="21" t="s">
        <v>2</v>
      </c>
      <c r="N5" s="4"/>
      <c r="O5" s="5" t="s">
        <v>75</v>
      </c>
      <c r="P5" s="5" t="s">
        <v>100</v>
      </c>
      <c r="Q5" s="5" t="s">
        <v>9</v>
      </c>
      <c r="R5" s="5" t="s">
        <v>9</v>
      </c>
      <c r="S5" s="5" t="s">
        <v>9</v>
      </c>
      <c r="T5" s="5" t="s">
        <v>9</v>
      </c>
    </row>
    <row r="6" spans="1:20" ht="12.75" customHeight="1">
      <c r="A6" s="12"/>
      <c r="B6" s="188" t="s">
        <v>23</v>
      </c>
      <c r="C6" s="71" t="s">
        <v>62</v>
      </c>
      <c r="D6" s="72" t="s">
        <v>65</v>
      </c>
      <c r="E6" s="73" t="s">
        <v>66</v>
      </c>
      <c r="F6" s="35" t="s">
        <v>68</v>
      </c>
      <c r="G6" s="35" t="s">
        <v>15</v>
      </c>
      <c r="H6" s="191" t="s">
        <v>61</v>
      </c>
      <c r="I6" s="81">
        <v>400.6360000000001</v>
      </c>
      <c r="J6" s="82">
        <v>11338.010000000002</v>
      </c>
      <c r="K6" s="82">
        <v>384256.63</v>
      </c>
      <c r="L6" s="83">
        <v>729882.0399999999</v>
      </c>
      <c r="M6" s="83">
        <f>J6+K6+L6</f>
        <v>1125476.68</v>
      </c>
      <c r="N6" s="202">
        <v>40908</v>
      </c>
      <c r="O6" s="90">
        <v>400</v>
      </c>
      <c r="P6" s="118">
        <f>'Vložení cen dle sazeb'!E15</f>
        <v>0</v>
      </c>
      <c r="Q6" s="91">
        <f>O6*P6</f>
        <v>0</v>
      </c>
      <c r="R6" s="152"/>
      <c r="S6" s="152"/>
      <c r="T6" s="107">
        <f>Q6+R6+S6</f>
        <v>0</v>
      </c>
    </row>
    <row r="7" spans="1:20" ht="12.75">
      <c r="A7" s="12"/>
      <c r="B7" s="189"/>
      <c r="C7" s="74" t="s">
        <v>63</v>
      </c>
      <c r="D7" s="75" t="s">
        <v>90</v>
      </c>
      <c r="E7" s="108" t="s">
        <v>114</v>
      </c>
      <c r="F7" s="76" t="s">
        <v>91</v>
      </c>
      <c r="G7" s="76" t="s">
        <v>15</v>
      </c>
      <c r="H7" s="192"/>
      <c r="I7" s="84">
        <v>1013.2520000000001</v>
      </c>
      <c r="J7" s="85">
        <v>28675.03</v>
      </c>
      <c r="K7" s="85">
        <v>878299.52</v>
      </c>
      <c r="L7" s="86">
        <v>1854683.08</v>
      </c>
      <c r="M7" s="86">
        <f>J7+K7+L7</f>
        <v>2761657.63</v>
      </c>
      <c r="N7" s="203"/>
      <c r="O7" s="92">
        <v>1070</v>
      </c>
      <c r="P7" s="119">
        <f>'Vložení cen dle sazeb'!E15</f>
        <v>0</v>
      </c>
      <c r="Q7" s="93">
        <f>O7*P7</f>
        <v>0</v>
      </c>
      <c r="R7" s="153"/>
      <c r="S7" s="153"/>
      <c r="T7" s="105">
        <f>Q7+R7+S7</f>
        <v>0</v>
      </c>
    </row>
    <row r="8" spans="1:20" ht="13.5" thickBot="1">
      <c r="A8" s="12"/>
      <c r="B8" s="189"/>
      <c r="C8" s="77" t="s">
        <v>64</v>
      </c>
      <c r="D8" s="78" t="s">
        <v>93</v>
      </c>
      <c r="E8" s="79" t="s">
        <v>94</v>
      </c>
      <c r="F8" s="80" t="s">
        <v>95</v>
      </c>
      <c r="G8" s="80" t="s">
        <v>15</v>
      </c>
      <c r="H8" s="192"/>
      <c r="I8" s="87">
        <v>891.276</v>
      </c>
      <c r="J8" s="88">
        <v>25223.129999999997</v>
      </c>
      <c r="K8" s="88">
        <v>909057.4899999998</v>
      </c>
      <c r="L8" s="89">
        <v>1623174.04</v>
      </c>
      <c r="M8" s="89">
        <f>J8+K8+L8</f>
        <v>2557454.6599999997</v>
      </c>
      <c r="N8" s="203"/>
      <c r="O8" s="94">
        <v>890</v>
      </c>
      <c r="P8" s="120">
        <f>'Vložení cen dle sazeb'!E15</f>
        <v>0</v>
      </c>
      <c r="Q8" s="95">
        <f>O8*P8</f>
        <v>0</v>
      </c>
      <c r="R8" s="154"/>
      <c r="S8" s="154"/>
      <c r="T8" s="106">
        <f>Q8+R8+S8</f>
        <v>0</v>
      </c>
    </row>
    <row r="9" spans="1:20" ht="25.5" customHeight="1">
      <c r="A9" s="12"/>
      <c r="B9" s="37"/>
      <c r="C9" s="48"/>
      <c r="D9" s="49"/>
      <c r="E9" s="49"/>
      <c r="F9" s="50"/>
      <c r="G9" s="96" t="s">
        <v>58</v>
      </c>
      <c r="H9" s="97"/>
      <c r="I9" s="98">
        <f>SUM(I6:I8)</f>
        <v>2305.164</v>
      </c>
      <c r="J9" s="98">
        <f aca="true" t="shared" si="0" ref="J9:Q9">SUM(J6:J8)</f>
        <v>65236.17</v>
      </c>
      <c r="K9" s="98">
        <f t="shared" si="0"/>
        <v>2171613.6399999997</v>
      </c>
      <c r="L9" s="98">
        <f t="shared" si="0"/>
        <v>4207739.16</v>
      </c>
      <c r="M9" s="98">
        <f t="shared" si="0"/>
        <v>6444588.969999999</v>
      </c>
      <c r="N9" s="99"/>
      <c r="O9" s="100">
        <f t="shared" si="0"/>
        <v>2360</v>
      </c>
      <c r="P9" s="102"/>
      <c r="Q9" s="101">
        <f t="shared" si="0"/>
        <v>0</v>
      </c>
      <c r="R9" s="113">
        <f>SUM(R6:R8)</f>
        <v>0</v>
      </c>
      <c r="S9" s="113">
        <f>SUM(S6:S8)</f>
        <v>0</v>
      </c>
      <c r="T9" s="114">
        <f>SUM(T6:T8)</f>
        <v>0</v>
      </c>
    </row>
    <row r="10" spans="2:20" ht="12.75"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R10" s="112"/>
      <c r="S10" s="112"/>
      <c r="T10" s="112"/>
    </row>
    <row r="11" spans="2:20" ht="12.75"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R11" s="111"/>
      <c r="S11" s="111"/>
      <c r="T11" s="111"/>
    </row>
    <row r="12" spans="2:16" ht="12.75"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ht="12.75"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ht="12.75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ht="12.75"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ht="12.75"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8" spans="6:9" ht="12.75">
      <c r="F18" s="40"/>
      <c r="H18" s="40" t="s">
        <v>76</v>
      </c>
      <c r="I18" s="40"/>
    </row>
    <row r="20" spans="6:13" ht="12.75">
      <c r="F20" s="40"/>
      <c r="G20" s="40"/>
      <c r="H20" s="42" t="s">
        <v>74</v>
      </c>
      <c r="I20" s="42" t="s">
        <v>69</v>
      </c>
      <c r="J20" s="42" t="s">
        <v>70</v>
      </c>
      <c r="K20" s="42" t="s">
        <v>71</v>
      </c>
      <c r="L20" s="42" t="s">
        <v>72</v>
      </c>
      <c r="M20" s="42" t="s">
        <v>73</v>
      </c>
    </row>
    <row r="21" spans="8:15" ht="12.75">
      <c r="H21" s="43" t="s">
        <v>77</v>
      </c>
      <c r="I21" s="44">
        <v>37.828</v>
      </c>
      <c r="J21" s="45">
        <v>1070.53</v>
      </c>
      <c r="K21" s="45">
        <v>37955.94</v>
      </c>
      <c r="L21" s="45">
        <v>71494.92</v>
      </c>
      <c r="M21" s="45">
        <f>J21+K21+L21</f>
        <v>110521.39</v>
      </c>
      <c r="O21" s="41"/>
    </row>
    <row r="22" spans="8:13" ht="12.75">
      <c r="H22" s="43" t="s">
        <v>78</v>
      </c>
      <c r="I22" s="44">
        <v>38.361</v>
      </c>
      <c r="J22" s="45">
        <v>1085.62</v>
      </c>
      <c r="K22" s="45">
        <v>37927.56</v>
      </c>
      <c r="L22" s="45">
        <v>72502.29</v>
      </c>
      <c r="M22" s="45">
        <f aca="true" t="shared" si="1" ref="M22:M32">J22+K22+L22</f>
        <v>111515.47</v>
      </c>
    </row>
    <row r="23" spans="8:13" ht="12.75">
      <c r="H23" s="43" t="s">
        <v>79</v>
      </c>
      <c r="I23" s="44">
        <v>34.45</v>
      </c>
      <c r="J23" s="45">
        <v>974.94</v>
      </c>
      <c r="K23" s="45">
        <v>35615.23</v>
      </c>
      <c r="L23" s="45">
        <v>65110.5</v>
      </c>
      <c r="M23" s="45">
        <f t="shared" si="1"/>
        <v>101700.67000000001</v>
      </c>
    </row>
    <row r="24" spans="8:13" ht="12.75">
      <c r="H24" s="43" t="s">
        <v>80</v>
      </c>
      <c r="I24" s="44">
        <v>29.79</v>
      </c>
      <c r="J24" s="45">
        <v>843.06</v>
      </c>
      <c r="K24" s="45">
        <v>32851.28</v>
      </c>
      <c r="L24" s="45">
        <v>56303.1</v>
      </c>
      <c r="M24" s="45">
        <f t="shared" si="1"/>
        <v>89997.44</v>
      </c>
    </row>
    <row r="25" spans="8:13" ht="12.75">
      <c r="H25" s="43" t="s">
        <v>81</v>
      </c>
      <c r="I25" s="44">
        <v>30.727</v>
      </c>
      <c r="J25" s="45">
        <v>869.57</v>
      </c>
      <c r="K25" s="45">
        <v>33437.84</v>
      </c>
      <c r="L25" s="45">
        <v>58074.03</v>
      </c>
      <c r="M25" s="45">
        <f t="shared" si="1"/>
        <v>92381.44</v>
      </c>
    </row>
    <row r="26" spans="8:13" ht="12.75">
      <c r="H26" s="43" t="s">
        <v>82</v>
      </c>
      <c r="I26" s="44">
        <v>27.684</v>
      </c>
      <c r="J26" s="45">
        <v>783.46</v>
      </c>
      <c r="K26" s="45">
        <v>31628.64</v>
      </c>
      <c r="L26" s="45">
        <v>52322.76</v>
      </c>
      <c r="M26" s="45">
        <f t="shared" si="1"/>
        <v>84734.86</v>
      </c>
    </row>
    <row r="27" spans="8:13" ht="12.75">
      <c r="H27" s="43" t="s">
        <v>83</v>
      </c>
      <c r="I27" s="44">
        <v>31.046</v>
      </c>
      <c r="J27" s="45">
        <v>878.6</v>
      </c>
      <c r="K27" s="45">
        <v>33597.06</v>
      </c>
      <c r="L27" s="45">
        <v>58676.94</v>
      </c>
      <c r="M27" s="45">
        <f t="shared" si="1"/>
        <v>93152.6</v>
      </c>
    </row>
    <row r="28" spans="8:13" ht="12.75">
      <c r="H28" s="43" t="s">
        <v>84</v>
      </c>
      <c r="I28" s="44">
        <v>29.695</v>
      </c>
      <c r="J28" s="45">
        <v>840.37</v>
      </c>
      <c r="K28" s="45">
        <v>26453.86</v>
      </c>
      <c r="L28" s="45">
        <v>51372.35</v>
      </c>
      <c r="M28" s="45">
        <f t="shared" si="1"/>
        <v>78666.58</v>
      </c>
    </row>
    <row r="29" spans="8:13" ht="12.75">
      <c r="H29" s="43" t="s">
        <v>85</v>
      </c>
      <c r="I29" s="44">
        <v>30.237</v>
      </c>
      <c r="J29" s="45">
        <v>855.71</v>
      </c>
      <c r="K29" s="45">
        <v>26676.38</v>
      </c>
      <c r="L29" s="45">
        <v>52310.01</v>
      </c>
      <c r="M29" s="45">
        <f t="shared" si="1"/>
        <v>79842.1</v>
      </c>
    </row>
    <row r="30" spans="8:13" ht="12.75">
      <c r="H30" s="43" t="s">
        <v>86</v>
      </c>
      <c r="I30" s="44">
        <v>33.476</v>
      </c>
      <c r="J30" s="45">
        <v>947.37</v>
      </c>
      <c r="K30" s="45">
        <v>27989.58</v>
      </c>
      <c r="L30" s="45">
        <v>57913.48</v>
      </c>
      <c r="M30" s="45">
        <f t="shared" si="1"/>
        <v>86850.43000000001</v>
      </c>
    </row>
    <row r="31" spans="8:13" ht="12.75">
      <c r="H31" s="43" t="s">
        <v>87</v>
      </c>
      <c r="I31" s="44">
        <v>39.761</v>
      </c>
      <c r="J31" s="45">
        <v>1125.24</v>
      </c>
      <c r="K31" s="45">
        <v>30434.43</v>
      </c>
      <c r="L31" s="45">
        <v>68786.53</v>
      </c>
      <c r="M31" s="45">
        <f t="shared" si="1"/>
        <v>100346.2</v>
      </c>
    </row>
    <row r="32" spans="8:13" ht="12.75">
      <c r="H32" s="43" t="s">
        <v>88</v>
      </c>
      <c r="I32" s="44">
        <v>37.581</v>
      </c>
      <c r="J32" s="45">
        <v>1063.54</v>
      </c>
      <c r="K32" s="45">
        <v>29688.83</v>
      </c>
      <c r="L32" s="45">
        <v>65015.13</v>
      </c>
      <c r="M32" s="45">
        <f t="shared" si="1"/>
        <v>95767.5</v>
      </c>
    </row>
    <row r="33" spans="8:13" ht="12.75">
      <c r="H33" s="46"/>
      <c r="I33" s="44"/>
      <c r="J33" s="45"/>
      <c r="K33" s="45"/>
      <c r="L33" s="45"/>
      <c r="M33" s="45"/>
    </row>
    <row r="34" spans="5:13" ht="12.75">
      <c r="E34" s="40"/>
      <c r="H34" s="42" t="s">
        <v>73</v>
      </c>
      <c r="I34" s="44">
        <f>SUM(I21:I32)</f>
        <v>400.6360000000001</v>
      </c>
      <c r="J34" s="45">
        <f>SUM(J21:J32)</f>
        <v>11338.010000000002</v>
      </c>
      <c r="K34" s="45">
        <f>SUM(K21:K32)</f>
        <v>384256.63</v>
      </c>
      <c r="L34" s="45">
        <f>SUM(L21:L32)</f>
        <v>729882.0399999999</v>
      </c>
      <c r="M34" s="45">
        <f>SUM(M21:M32)</f>
        <v>1125476.68</v>
      </c>
    </row>
    <row r="37" spans="8:9" ht="12.75">
      <c r="H37" s="40" t="s">
        <v>92</v>
      </c>
      <c r="I37" s="40"/>
    </row>
    <row r="39" spans="8:13" ht="12.75">
      <c r="H39" s="42" t="s">
        <v>74</v>
      </c>
      <c r="I39" s="42" t="s">
        <v>69</v>
      </c>
      <c r="J39" s="42" t="s">
        <v>70</v>
      </c>
      <c r="K39" s="42" t="s">
        <v>71</v>
      </c>
      <c r="L39" s="42" t="s">
        <v>72</v>
      </c>
      <c r="M39" s="42" t="s">
        <v>73</v>
      </c>
    </row>
    <row r="40" spans="8:13" ht="12.75">
      <c r="H40" s="43" t="s">
        <v>77</v>
      </c>
      <c r="I40" s="44">
        <v>82.525</v>
      </c>
      <c r="J40" s="45">
        <v>2335.46</v>
      </c>
      <c r="K40" s="45">
        <v>77193.55</v>
      </c>
      <c r="L40" s="45">
        <v>155972.25</v>
      </c>
      <c r="M40" s="45">
        <f>J40+K40+L40</f>
        <v>235501.26</v>
      </c>
    </row>
    <row r="41" spans="8:13" ht="12.75">
      <c r="H41" s="43" t="s">
        <v>78</v>
      </c>
      <c r="I41" s="44">
        <v>82.052</v>
      </c>
      <c r="J41" s="45">
        <v>2322.07</v>
      </c>
      <c r="K41" s="45">
        <v>76897.48</v>
      </c>
      <c r="L41" s="45">
        <v>155078.28</v>
      </c>
      <c r="M41" s="45">
        <f aca="true" t="shared" si="2" ref="M41:M51">J41+K41+L41</f>
        <v>234297.83000000002</v>
      </c>
    </row>
    <row r="42" spans="8:13" ht="12.75">
      <c r="H42" s="43" t="s">
        <v>79</v>
      </c>
      <c r="I42" s="44">
        <v>93.912</v>
      </c>
      <c r="J42" s="45">
        <v>2657.71</v>
      </c>
      <c r="K42" s="45">
        <v>84320.72</v>
      </c>
      <c r="L42" s="45">
        <v>177493.68</v>
      </c>
      <c r="M42" s="45">
        <f t="shared" si="2"/>
        <v>264472.11</v>
      </c>
    </row>
    <row r="43" spans="8:13" ht="12.75">
      <c r="H43" s="43" t="s">
        <v>80</v>
      </c>
      <c r="I43" s="44">
        <v>92.009</v>
      </c>
      <c r="J43" s="45">
        <v>2603.85</v>
      </c>
      <c r="K43" s="45">
        <v>84607.32</v>
      </c>
      <c r="L43" s="47">
        <v>173897.01</v>
      </c>
      <c r="M43" s="45">
        <f t="shared" si="2"/>
        <v>261108.18000000002</v>
      </c>
    </row>
    <row r="44" spans="8:13" ht="12.75">
      <c r="H44" s="43" t="s">
        <v>81</v>
      </c>
      <c r="I44" s="44">
        <v>102.779</v>
      </c>
      <c r="J44" s="45">
        <v>2908.65</v>
      </c>
      <c r="K44" s="45">
        <v>91348.7</v>
      </c>
      <c r="L44" s="45">
        <v>194252.31</v>
      </c>
      <c r="M44" s="45">
        <f t="shared" si="2"/>
        <v>288509.66</v>
      </c>
    </row>
    <row r="45" spans="8:13" ht="12.75">
      <c r="H45" s="43" t="s">
        <v>82</v>
      </c>
      <c r="I45" s="44">
        <v>89.345</v>
      </c>
      <c r="J45" s="45">
        <v>2528.46</v>
      </c>
      <c r="K45" s="45">
        <v>82939.82</v>
      </c>
      <c r="L45" s="45">
        <v>168862.05</v>
      </c>
      <c r="M45" s="45">
        <f t="shared" si="2"/>
        <v>254330.33000000002</v>
      </c>
    </row>
    <row r="46" spans="8:13" ht="12.75">
      <c r="H46" s="43" t="s">
        <v>83</v>
      </c>
      <c r="I46" s="44">
        <v>93.36</v>
      </c>
      <c r="J46" s="45">
        <v>2642.09</v>
      </c>
      <c r="K46" s="45">
        <v>85452.96</v>
      </c>
      <c r="L46" s="45">
        <v>176450.4</v>
      </c>
      <c r="M46" s="45">
        <f t="shared" si="2"/>
        <v>264545.45</v>
      </c>
    </row>
    <row r="47" spans="8:13" ht="12.75">
      <c r="H47" s="43" t="s">
        <v>84</v>
      </c>
      <c r="I47" s="44">
        <v>92.325</v>
      </c>
      <c r="J47" s="45">
        <v>2612.8</v>
      </c>
      <c r="K47" s="45">
        <v>80477.74</v>
      </c>
      <c r="L47" s="45">
        <v>159722.25</v>
      </c>
      <c r="M47" s="45">
        <f t="shared" si="2"/>
        <v>242812.79</v>
      </c>
    </row>
    <row r="48" spans="8:13" ht="12.75">
      <c r="H48" s="43" t="s">
        <v>85</v>
      </c>
      <c r="I48" s="44">
        <v>85.4</v>
      </c>
      <c r="J48" s="45">
        <v>2416.82</v>
      </c>
      <c r="K48" s="45">
        <v>59875.36</v>
      </c>
      <c r="L48" s="45">
        <v>147742</v>
      </c>
      <c r="M48" s="45">
        <f t="shared" si="2"/>
        <v>210034.18</v>
      </c>
    </row>
    <row r="49" spans="8:13" ht="12.75">
      <c r="H49" s="43" t="s">
        <v>86</v>
      </c>
      <c r="I49" s="44">
        <v>78.428</v>
      </c>
      <c r="J49" s="45">
        <v>2219.51</v>
      </c>
      <c r="K49" s="45">
        <v>55348.97</v>
      </c>
      <c r="L49" s="45">
        <v>135680.44</v>
      </c>
      <c r="M49" s="45">
        <f t="shared" si="2"/>
        <v>193248.92</v>
      </c>
    </row>
    <row r="50" spans="8:13" ht="12.75">
      <c r="H50" s="43" t="s">
        <v>87</v>
      </c>
      <c r="I50" s="44">
        <v>65.309</v>
      </c>
      <c r="J50" s="45">
        <v>1848.24</v>
      </c>
      <c r="K50" s="45">
        <v>49689.19</v>
      </c>
      <c r="L50" s="45">
        <v>112984.57</v>
      </c>
      <c r="M50" s="45">
        <f t="shared" si="2"/>
        <v>164522</v>
      </c>
    </row>
    <row r="51" spans="8:13" ht="12.75">
      <c r="H51" s="43" t="s">
        <v>88</v>
      </c>
      <c r="I51" s="44">
        <v>55.808</v>
      </c>
      <c r="J51" s="45">
        <v>1579.37</v>
      </c>
      <c r="K51" s="45">
        <v>50147.71</v>
      </c>
      <c r="L51" s="45">
        <v>96547.84</v>
      </c>
      <c r="M51" s="45">
        <f t="shared" si="2"/>
        <v>148274.91999999998</v>
      </c>
    </row>
    <row r="52" spans="8:13" ht="12.75">
      <c r="H52" s="46"/>
      <c r="I52" s="44"/>
      <c r="J52" s="45"/>
      <c r="K52" s="45"/>
      <c r="L52" s="45"/>
      <c r="M52" s="45"/>
    </row>
    <row r="53" spans="8:13" ht="12.75">
      <c r="H53" s="42" t="s">
        <v>73</v>
      </c>
      <c r="I53" s="44">
        <f>SUM(I40:I51)</f>
        <v>1013.2520000000001</v>
      </c>
      <c r="J53" s="45">
        <f>SUM(J40:J51)</f>
        <v>28675.03</v>
      </c>
      <c r="K53" s="45">
        <f>SUM(K40:K51)</f>
        <v>878299.52</v>
      </c>
      <c r="L53" s="45">
        <f>SUM(L40:L51)</f>
        <v>1854683.08</v>
      </c>
      <c r="M53" s="45">
        <f>SUM(M40:M51)</f>
        <v>2761657.63</v>
      </c>
    </row>
    <row r="56" spans="8:9" ht="12.75">
      <c r="H56" s="40" t="s">
        <v>64</v>
      </c>
      <c r="I56" s="40"/>
    </row>
    <row r="58" spans="8:13" ht="12.75">
      <c r="H58" s="42" t="s">
        <v>74</v>
      </c>
      <c r="I58" s="42" t="s">
        <v>69</v>
      </c>
      <c r="J58" s="42" t="s">
        <v>70</v>
      </c>
      <c r="K58" s="42" t="s">
        <v>71</v>
      </c>
      <c r="L58" s="42" t="s">
        <v>72</v>
      </c>
      <c r="M58" s="42" t="s">
        <v>73</v>
      </c>
    </row>
    <row r="59" spans="8:13" ht="12.75">
      <c r="H59" s="43" t="s">
        <v>77</v>
      </c>
      <c r="I59" s="44">
        <v>68.11</v>
      </c>
      <c r="J59" s="45">
        <v>1927.51</v>
      </c>
      <c r="K59" s="45">
        <v>78234.76</v>
      </c>
      <c r="L59" s="45">
        <v>128727.9</v>
      </c>
      <c r="M59" s="45">
        <f>J59+K59+L59</f>
        <v>208890.16999999998</v>
      </c>
    </row>
    <row r="60" spans="8:13" ht="12.75">
      <c r="H60" s="43" t="s">
        <v>78</v>
      </c>
      <c r="I60" s="44">
        <v>69.891</v>
      </c>
      <c r="J60" s="45">
        <v>1977.92</v>
      </c>
      <c r="K60" s="45">
        <v>79293.41</v>
      </c>
      <c r="L60" s="45">
        <v>132093.99</v>
      </c>
      <c r="M60" s="45">
        <f aca="true" t="shared" si="3" ref="M60:M70">J60+K60+L60</f>
        <v>213365.32</v>
      </c>
    </row>
    <row r="61" spans="8:13" ht="12.75">
      <c r="H61" s="43" t="s">
        <v>79</v>
      </c>
      <c r="I61" s="44">
        <v>71.697</v>
      </c>
      <c r="J61" s="45">
        <v>2029.03</v>
      </c>
      <c r="K61" s="45">
        <v>80366.91</v>
      </c>
      <c r="L61" s="45">
        <v>135507.33</v>
      </c>
      <c r="M61" s="45">
        <f t="shared" si="3"/>
        <v>217903.27</v>
      </c>
    </row>
    <row r="62" spans="8:13" ht="12.75">
      <c r="H62" s="43" t="s">
        <v>80</v>
      </c>
      <c r="I62" s="44">
        <v>66.005</v>
      </c>
      <c r="J62" s="45">
        <v>1867.94</v>
      </c>
      <c r="K62" s="45">
        <v>76983.53</v>
      </c>
      <c r="L62" s="47">
        <v>124749.45</v>
      </c>
      <c r="M62" s="45">
        <f t="shared" si="3"/>
        <v>203600.91999999998</v>
      </c>
    </row>
    <row r="63" spans="8:13" ht="12.75">
      <c r="H63" s="43" t="s">
        <v>81</v>
      </c>
      <c r="I63" s="44">
        <v>77.833</v>
      </c>
      <c r="J63" s="45">
        <v>2202.67</v>
      </c>
      <c r="K63" s="45">
        <v>84014.22</v>
      </c>
      <c r="L63" s="45">
        <v>147104.37</v>
      </c>
      <c r="M63" s="45">
        <f t="shared" si="3"/>
        <v>233321.26</v>
      </c>
    </row>
    <row r="64" spans="8:13" ht="12.75">
      <c r="H64" s="43" t="s">
        <v>82</v>
      </c>
      <c r="I64" s="44">
        <v>71.708</v>
      </c>
      <c r="J64" s="45">
        <v>2029.34</v>
      </c>
      <c r="K64" s="45">
        <v>80373.45</v>
      </c>
      <c r="L64" s="45">
        <v>135528.12</v>
      </c>
      <c r="M64" s="45">
        <f t="shared" si="3"/>
        <v>217930.90999999997</v>
      </c>
    </row>
    <row r="65" spans="8:13" ht="12.75">
      <c r="H65" s="43" t="s">
        <v>83</v>
      </c>
      <c r="I65" s="44">
        <v>82.672</v>
      </c>
      <c r="J65" s="45">
        <v>2339.62</v>
      </c>
      <c r="K65" s="45">
        <v>94582.13</v>
      </c>
      <c r="L65" s="45">
        <v>156250.08</v>
      </c>
      <c r="M65" s="45">
        <f t="shared" si="3"/>
        <v>253171.83</v>
      </c>
    </row>
    <row r="66" spans="8:13" ht="12.75">
      <c r="H66" s="43" t="s">
        <v>84</v>
      </c>
      <c r="I66" s="44">
        <v>77.791</v>
      </c>
      <c r="J66" s="45">
        <v>2201.49</v>
      </c>
      <c r="K66" s="45">
        <v>67482.23</v>
      </c>
      <c r="L66" s="45">
        <v>134578.43</v>
      </c>
      <c r="M66" s="45">
        <f t="shared" si="3"/>
        <v>204262.15</v>
      </c>
    </row>
    <row r="67" spans="8:13" ht="12.75">
      <c r="H67" s="43" t="s">
        <v>85</v>
      </c>
      <c r="I67" s="44">
        <v>80.542</v>
      </c>
      <c r="J67" s="45">
        <v>2279.34</v>
      </c>
      <c r="K67" s="45">
        <v>68564.97</v>
      </c>
      <c r="L67" s="45">
        <v>139337.66</v>
      </c>
      <c r="M67" s="45">
        <f t="shared" si="3"/>
        <v>210181.97</v>
      </c>
    </row>
    <row r="68" spans="8:13" ht="12.75">
      <c r="H68" s="43" t="s">
        <v>86</v>
      </c>
      <c r="I68" s="44">
        <v>77.823</v>
      </c>
      <c r="J68" s="45">
        <v>2202.39</v>
      </c>
      <c r="K68" s="45">
        <v>67494.83</v>
      </c>
      <c r="L68" s="45">
        <v>134633.79</v>
      </c>
      <c r="M68" s="45">
        <f t="shared" si="3"/>
        <v>204331.01</v>
      </c>
    </row>
    <row r="69" spans="8:13" ht="12.75">
      <c r="H69" s="43" t="s">
        <v>87</v>
      </c>
      <c r="I69" s="44">
        <v>74.46</v>
      </c>
      <c r="J69" s="45">
        <v>2107.22</v>
      </c>
      <c r="K69" s="45">
        <v>66171.22</v>
      </c>
      <c r="L69" s="45">
        <v>128815.8</v>
      </c>
      <c r="M69" s="45">
        <f t="shared" si="3"/>
        <v>197094.24</v>
      </c>
    </row>
    <row r="70" spans="8:13" ht="12.75">
      <c r="H70" s="43" t="s">
        <v>88</v>
      </c>
      <c r="I70" s="44">
        <v>72.744</v>
      </c>
      <c r="J70" s="45">
        <v>2058.66</v>
      </c>
      <c r="K70" s="45">
        <v>65495.83</v>
      </c>
      <c r="L70" s="45">
        <v>125847.12</v>
      </c>
      <c r="M70" s="45">
        <f t="shared" si="3"/>
        <v>193401.61</v>
      </c>
    </row>
    <row r="71" spans="8:13" ht="12.75">
      <c r="H71" s="46"/>
      <c r="I71" s="44"/>
      <c r="J71" s="45"/>
      <c r="K71" s="45"/>
      <c r="L71" s="45"/>
      <c r="M71" s="45"/>
    </row>
    <row r="72" spans="8:13" ht="12.75">
      <c r="H72" s="42" t="s">
        <v>73</v>
      </c>
      <c r="I72" s="44">
        <f>SUM(I59:I70)</f>
        <v>891.276</v>
      </c>
      <c r="J72" s="45">
        <f>SUM(J59:J70)</f>
        <v>25223.129999999997</v>
      </c>
      <c r="K72" s="45">
        <f>SUM(K59:K70)</f>
        <v>909057.4899999998</v>
      </c>
      <c r="L72" s="45">
        <f>SUM(L59:L70)</f>
        <v>1623174.04</v>
      </c>
      <c r="M72" s="45">
        <f>SUM(M59:M70)</f>
        <v>2557454.6599999997</v>
      </c>
    </row>
  </sheetData>
  <sheetProtection password="8D99" sheet="1"/>
  <mergeCells count="4">
    <mergeCell ref="J4:M4"/>
    <mergeCell ref="B6:B8"/>
    <mergeCell ref="H6:H8"/>
    <mergeCell ref="N6:N8"/>
  </mergeCells>
  <printOptions/>
  <pageMargins left="0" right="0" top="0.984251968503937" bottom="0.984251968503937" header="0.5118110236220472" footer="0.5118110236220472"/>
  <pageSetup fitToHeight="0" fitToWidth="1" horizontalDpi="600" verticalDpi="600" orientation="landscape" paperSize="8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Misa</cp:lastModifiedBy>
  <cp:lastPrinted>2011-09-02T12:39:08Z</cp:lastPrinted>
  <dcterms:created xsi:type="dcterms:W3CDTF">2010-08-30T08:17:54Z</dcterms:created>
  <dcterms:modified xsi:type="dcterms:W3CDTF">2011-09-16T14:45:19Z</dcterms:modified>
  <cp:category/>
  <cp:version/>
  <cp:contentType/>
  <cp:contentStatus/>
</cp:coreProperties>
</file>