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65506" yWindow="270" windowWidth="12120" windowHeight="8400" activeTab="0"/>
  </bookViews>
  <sheets>
    <sheet name="Položkový rozpočet" sheetId="2" r:id="rId1"/>
    <sheet name="Technická data" sheetId="3" r:id="rId2"/>
    <sheet name="Zdroje MěÚ Odry" sheetId="4" r:id="rId3"/>
    <sheet name="Zdroje OMS" sheetId="5" r:id="rId4"/>
    <sheet name="Zdroje ZŠ Komenského" sheetId="6" r:id="rId5"/>
    <sheet name="Zdroje ZŠ Pohořská" sheetId="7" r:id="rId6"/>
  </sheets>
  <definedNames/>
  <calcPr calcId="144525"/>
</workbook>
</file>

<file path=xl/comments6.xml><?xml version="1.0" encoding="utf-8"?>
<comments xmlns="http://schemas.openxmlformats.org/spreadsheetml/2006/main">
  <authors>
    <author>Karel Glogar</author>
  </authors>
  <commentList>
    <comment ref="F9" authorId="0">
      <text>
        <r>
          <rPr>
            <b/>
            <sz val="9"/>
            <rFont val="Tahoma"/>
            <family val="2"/>
          </rPr>
          <t>Karel Glogar:</t>
        </r>
        <r>
          <rPr>
            <sz val="9"/>
            <rFont val="Tahoma"/>
            <family val="2"/>
          </rPr>
          <t xml:space="preserve">
ODHAD</t>
        </r>
      </text>
    </comment>
  </commentList>
</comments>
</file>

<file path=xl/sharedStrings.xml><?xml version="1.0" encoding="utf-8"?>
<sst xmlns="http://schemas.openxmlformats.org/spreadsheetml/2006/main" count="315" uniqueCount="161">
  <si>
    <t>Poznámky:</t>
  </si>
  <si>
    <t>do mobilní sítě Telefónica O2</t>
  </si>
  <si>
    <t>odeslání SMS</t>
  </si>
  <si>
    <t>do mobilní sítě T-Mobile</t>
  </si>
  <si>
    <t>do mobilní sítě Vodafone</t>
  </si>
  <si>
    <t>Obsah a vzorce ostatních buněk nesmí upravovat.</t>
  </si>
  <si>
    <t>Uchazeč vyplní pouze žlutě označené buňky.</t>
  </si>
  <si>
    <t>výše DPH</t>
  </si>
  <si>
    <t xml:space="preserve">do pevné sítě </t>
  </si>
  <si>
    <t>CELKOVÁ NABÍDKOVÁ CENA</t>
  </si>
  <si>
    <t xml:space="preserve">Cena volání </t>
  </si>
  <si>
    <t>Pravidelné paušální poplatky</t>
  </si>
  <si>
    <t>Počet jednotek (minut provolaných za měsíc)</t>
  </si>
  <si>
    <t>Cena za 1 minutu hovoru v Kč bez DPH</t>
  </si>
  <si>
    <t>Cena za 1 odeslanou SMS/MMS v Kč bez DPH</t>
  </si>
  <si>
    <t>Počet jednotek (odeslaných SMS/MMS za měsíc)</t>
  </si>
  <si>
    <t>Zadavatel (Organizace)</t>
  </si>
  <si>
    <t>ID</t>
  </si>
  <si>
    <t>Množství  odeslaných SMS</t>
  </si>
  <si>
    <t>Město Odry</t>
  </si>
  <si>
    <t>ZŠ Komenského</t>
  </si>
  <si>
    <t>ZŠ Pohořská</t>
  </si>
  <si>
    <t>Oderská městská společnost</t>
  </si>
  <si>
    <t>Průměr provolaných minut za květen a červen 2012</t>
  </si>
  <si>
    <t>Měsíc/rok</t>
  </si>
  <si>
    <t>Čís.tel.</t>
  </si>
  <si>
    <t>Majitel</t>
  </si>
  <si>
    <t>Sazba</t>
  </si>
  <si>
    <t>Paušál</t>
  </si>
  <si>
    <t>Účet</t>
  </si>
  <si>
    <t>Celk.min</t>
  </si>
  <si>
    <t>Průměr/měsíc</t>
  </si>
  <si>
    <t>Z toho /min</t>
  </si>
  <si>
    <t>SMS</t>
  </si>
  <si>
    <t>SMLOUVA DO</t>
  </si>
  <si>
    <t>Tmob</t>
  </si>
  <si>
    <t>O2</t>
  </si>
  <si>
    <t>vod</t>
  </si>
  <si>
    <t>pevná</t>
  </si>
  <si>
    <t>Za 5 měsíců</t>
  </si>
  <si>
    <t>Kč</t>
  </si>
  <si>
    <t>Min</t>
  </si>
  <si>
    <t>T.Mobile</t>
  </si>
  <si>
    <t>vodafone</t>
  </si>
  <si>
    <t>Pevná</t>
  </si>
  <si>
    <t>Kč/min</t>
  </si>
  <si>
    <t>1.</t>
  </si>
  <si>
    <t>p.tajemn.</t>
  </si>
  <si>
    <t>T80HIT</t>
  </si>
  <si>
    <t>Neurč.</t>
  </si>
  <si>
    <t>2.</t>
  </si>
  <si>
    <t>Pinkasová</t>
  </si>
  <si>
    <t>T30</t>
  </si>
  <si>
    <t>3.</t>
  </si>
  <si>
    <t>Bílý</t>
  </si>
  <si>
    <t>4.</t>
  </si>
  <si>
    <t>BránaT-mob</t>
  </si>
  <si>
    <t>T600Hit</t>
  </si>
  <si>
    <t>5.</t>
  </si>
  <si>
    <t>M.Hrčková</t>
  </si>
  <si>
    <t xml:space="preserve">T80 </t>
  </si>
  <si>
    <t>6.</t>
  </si>
  <si>
    <t>Kriz.řízení</t>
  </si>
  <si>
    <t>7.</t>
  </si>
  <si>
    <t>Buzcková</t>
  </si>
  <si>
    <t>8.</t>
  </si>
  <si>
    <t>p.starosta</t>
  </si>
  <si>
    <t>T160HIT</t>
  </si>
  <si>
    <t>9.</t>
  </si>
  <si>
    <t>Bc.Černý</t>
  </si>
  <si>
    <t>T20StartHit</t>
  </si>
  <si>
    <t>10.</t>
  </si>
  <si>
    <t>SNM Czerny</t>
  </si>
  <si>
    <t>T80Hit</t>
  </si>
  <si>
    <t>11.</t>
  </si>
  <si>
    <t>H.Hrčková</t>
  </si>
  <si>
    <t>12.</t>
  </si>
  <si>
    <t>MSt</t>
  </si>
  <si>
    <t>13.</t>
  </si>
  <si>
    <t>Kulíková</t>
  </si>
  <si>
    <t>14.</t>
  </si>
  <si>
    <t>Skalka</t>
  </si>
  <si>
    <t>T80</t>
  </si>
  <si>
    <t>15.</t>
  </si>
  <si>
    <t>Paprskářová</t>
  </si>
  <si>
    <t>podnik.</t>
  </si>
  <si>
    <t>16.</t>
  </si>
  <si>
    <t>Dusíková</t>
  </si>
  <si>
    <t>Podnik.</t>
  </si>
  <si>
    <t>17.</t>
  </si>
  <si>
    <t>Ambrožová</t>
  </si>
  <si>
    <t>Podnik</t>
  </si>
  <si>
    <t>18.</t>
  </si>
  <si>
    <t>Glogar - TWIST</t>
  </si>
  <si>
    <t>19.</t>
  </si>
  <si>
    <t>OŽP - TWIST</t>
  </si>
  <si>
    <t>20.</t>
  </si>
  <si>
    <t>OSV - TWIST</t>
  </si>
  <si>
    <t>CELKEM</t>
  </si>
  <si>
    <t>Neuč</t>
  </si>
  <si>
    <t>Neuč.</t>
  </si>
  <si>
    <t xml:space="preserve">Paušální poplatek za hlasový tarif </t>
  </si>
  <si>
    <t>Telefonní číslo</t>
  </si>
  <si>
    <t>Celkový počet minut</t>
  </si>
  <si>
    <t>17. února 2013</t>
  </si>
  <si>
    <t>Průměrná platba zahrnující paušální poplatek</t>
  </si>
  <si>
    <t>Suma</t>
  </si>
  <si>
    <t>Oderská městká společnost</t>
  </si>
  <si>
    <t>ZŠ Komenská</t>
  </si>
  <si>
    <t>Přehled</t>
  </si>
  <si>
    <t>Identifikátor SIM karty</t>
  </si>
  <si>
    <t>Počet SIM karet</t>
  </si>
  <si>
    <t>Průměr za měsíc</t>
  </si>
  <si>
    <t>t-mob/min</t>
  </si>
  <si>
    <t>O2/min</t>
  </si>
  <si>
    <t>Vodaf/min</t>
  </si>
  <si>
    <t>Pevná/min</t>
  </si>
  <si>
    <t>PPS/PS</t>
  </si>
  <si>
    <t>Kč bez DPH</t>
  </si>
  <si>
    <t>Kč vč. DPH</t>
  </si>
  <si>
    <t>Podnikatel</t>
  </si>
  <si>
    <t>M2M Mini</t>
  </si>
  <si>
    <t>T 30</t>
  </si>
  <si>
    <t>Podnik. HIT</t>
  </si>
  <si>
    <r>
      <t>Organizace :</t>
    </r>
    <r>
      <rPr>
        <sz val="10"/>
        <rFont val="Arial CE"/>
        <family val="2"/>
      </rPr>
      <t xml:space="preserve"> Základní škola Odry, Pohořská 8, příspěvková organizace</t>
    </r>
  </si>
  <si>
    <t>Celkem min.</t>
  </si>
  <si>
    <t>Z toho /min - průměr/měsíc</t>
  </si>
  <si>
    <t>rok 2012</t>
  </si>
  <si>
    <t>bez DPH</t>
  </si>
  <si>
    <t>3,4,5,6,7</t>
  </si>
  <si>
    <t>Pozn. : U Kč/min. jsem od ceny za 5 měsíců odečetla 5 x poušál vč, DPH a podělila minutami.</t>
  </si>
  <si>
    <t>Zpracovala : D.Mikošková, 14.11.2012</t>
  </si>
  <si>
    <t>Údaje o měsíčních platbách bez DPH</t>
  </si>
  <si>
    <t>Měsíční průměr objemu provolaných minut *)</t>
  </si>
  <si>
    <t>*)</t>
  </si>
  <si>
    <t>Datum zahájení čerpání služeb</t>
  </si>
  <si>
    <t>Příloha č. 1 - Technická data</t>
  </si>
  <si>
    <t>Příloha č. 1 - Položkový rozpočet</t>
  </si>
  <si>
    <t>MěÚ Odry  - přehled čerpání</t>
  </si>
  <si>
    <t>Oderská městská společnost  - přehled čerpání</t>
  </si>
  <si>
    <t>ZŠ Komenského  - přehled čerpání</t>
  </si>
  <si>
    <t>ZŠ Pohořská - přehled čerpání</t>
  </si>
  <si>
    <t>14. prosince 2013</t>
  </si>
  <si>
    <t>18. prosince 2013</t>
  </si>
  <si>
    <t>Paušální cena za všechny SIM karty</t>
  </si>
  <si>
    <t>Paušální poplatek za  digitální  mobilní hlasový tarif (bez volných minut, zahrnující využití hlasové schránky, roamingu, podrobného papírového i elektronického výpisu)</t>
  </si>
  <si>
    <t>Cena za 1 měsíc bez DPH</t>
  </si>
  <si>
    <t>Cena za 24 měsíců s DPH</t>
  </si>
  <si>
    <t>Cena za 24 měsíců bez DPH</t>
  </si>
  <si>
    <t>Koeficient relevance SIM karty v celkovém objemu spotřeby</t>
  </si>
  <si>
    <t>SMS služba *)</t>
  </si>
  <si>
    <t>Celkový měsíční průměr objemu provolaných minut</t>
  </si>
  <si>
    <t>Celkové údaje o měsíčních platbách bez DPH</t>
  </si>
  <si>
    <t>Celkový identifikátor SIM karet</t>
  </si>
  <si>
    <t>Celková SMS služba</t>
  </si>
  <si>
    <t>U čísel, které budou připojeny v průběhu roku 2013, byl měsíční objem čerpaných služeb za využití koeficientu poměrně zkrácen tak, aby byl odhadnutelný celkový objem za 24 měsíců.</t>
  </si>
  <si>
    <t>na dobu neurčitou</t>
  </si>
  <si>
    <r>
      <t>1 účtovací období (</t>
    </r>
    <r>
      <rPr>
        <b/>
        <u val="single"/>
        <sz val="8"/>
        <rFont val="Verdana"/>
        <family val="2"/>
      </rPr>
      <t>kalendářní měsíc</t>
    </r>
    <r>
      <rPr>
        <b/>
        <sz val="8"/>
        <rFont val="Verdana"/>
        <family val="2"/>
      </rPr>
      <t>) v Kč bez DPH *)</t>
    </r>
  </si>
  <si>
    <t>*) Částka musí být vyšší než nula a nepřekročit 1 Kč.</t>
  </si>
  <si>
    <t>SMS služby</t>
  </si>
  <si>
    <t>v rámci PPS/PS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</si>
</sst>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&quot;Kč&quot;"/>
    <numFmt numFmtId="165" formatCode="#,##0.00\ _K_č"/>
    <numFmt numFmtId="166" formatCode="0.0000000"/>
    <numFmt numFmtId="167" formatCode="[$-F800]dddd\,\ mmmm\ dd\,\ yyyy"/>
    <numFmt numFmtId="168" formatCode="#,##0\ &quot;Kč&quot;"/>
    <numFmt numFmtId="169" formatCode="0.0"/>
  </numFmts>
  <fonts count="18">
    <font>
      <sz val="10"/>
      <name val="Arial CE"/>
      <family val="2"/>
    </font>
    <font>
      <sz val="10"/>
      <name val="Arial"/>
      <family val="2"/>
    </font>
    <font>
      <sz val="8"/>
      <name val="Verdana"/>
      <family val="2"/>
    </font>
    <font>
      <sz val="8"/>
      <color theme="0"/>
      <name val="Verdana"/>
      <family val="2"/>
    </font>
    <font>
      <b/>
      <sz val="16"/>
      <color theme="0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8"/>
      <color theme="0"/>
      <name val="Verdana"/>
      <family val="2"/>
    </font>
    <font>
      <b/>
      <sz val="8"/>
      <name val="Verdana"/>
      <family val="2"/>
    </font>
    <font>
      <b/>
      <u val="single"/>
      <sz val="8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name val="Arial Black"/>
      <family val="2"/>
    </font>
    <font>
      <b/>
      <sz val="9"/>
      <name val="Tahoma"/>
      <family val="2"/>
    </font>
    <font>
      <sz val="9"/>
      <name val="Tahoma"/>
      <family val="2"/>
    </font>
    <font>
      <b/>
      <sz val="7"/>
      <color theme="0"/>
      <name val="Verdana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 style="medium"/>
      <top/>
      <bottom style="double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5">
    <xf numFmtId="0" fontId="0" fillId="0" borderId="0" xfId="0"/>
    <xf numFmtId="3" fontId="0" fillId="0" borderId="0" xfId="0" applyNumberFormat="1"/>
    <xf numFmtId="1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5" fillId="0" borderId="0" xfId="0" applyFont="1"/>
    <xf numFmtId="0" fontId="6" fillId="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left" vertical="center" wrapText="1"/>
    </xf>
    <xf numFmtId="165" fontId="8" fillId="0" borderId="0" xfId="0" applyNumberFormat="1" applyFont="1" applyBorder="1" applyAlignment="1">
      <alignment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164" fontId="8" fillId="0" borderId="7" xfId="0" applyNumberFormat="1" applyFont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Alignment="1">
      <alignment/>
    </xf>
    <xf numFmtId="166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9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4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7" xfId="0" applyFill="1" applyBorder="1"/>
    <xf numFmtId="0" fontId="0" fillId="0" borderId="0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0" xfId="0" applyFill="1" applyBorder="1"/>
    <xf numFmtId="0" fontId="0" fillId="0" borderId="16" xfId="0" applyFill="1" applyBorder="1"/>
    <xf numFmtId="3" fontId="0" fillId="0" borderId="0" xfId="0" applyNumberFormat="1" applyBorder="1"/>
    <xf numFmtId="0" fontId="10" fillId="0" borderId="0" xfId="0" applyFont="1" applyBorder="1"/>
    <xf numFmtId="0" fontId="10" fillId="0" borderId="0" xfId="0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1" fillId="0" borderId="12" xfId="0" applyFont="1" applyBorder="1"/>
    <xf numFmtId="0" fontId="10" fillId="0" borderId="13" xfId="0" applyFont="1" applyBorder="1" applyAlignment="1">
      <alignment horizontal="center"/>
    </xf>
    <xf numFmtId="17" fontId="0" fillId="0" borderId="25" xfId="0" applyNumberForma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16" xfId="0" applyFont="1" applyBorder="1" applyAlignment="1">
      <alignment/>
    </xf>
    <xf numFmtId="3" fontId="0" fillId="0" borderId="21" xfId="0" applyNumberFormat="1" applyBorder="1"/>
    <xf numFmtId="0" fontId="10" fillId="0" borderId="22" xfId="0" applyFont="1" applyBorder="1"/>
    <xf numFmtId="0" fontId="0" fillId="0" borderId="31" xfId="0" applyBorder="1"/>
    <xf numFmtId="2" fontId="0" fillId="0" borderId="32" xfId="0" applyNumberFormat="1" applyBorder="1"/>
    <xf numFmtId="169" fontId="0" fillId="0" borderId="33" xfId="0" applyNumberFormat="1" applyBorder="1"/>
    <xf numFmtId="20" fontId="0" fillId="0" borderId="23" xfId="0" applyNumberFormat="1" applyBorder="1"/>
    <xf numFmtId="0" fontId="0" fillId="0" borderId="34" xfId="0" applyBorder="1"/>
    <xf numFmtId="2" fontId="0" fillId="0" borderId="31" xfId="0" applyNumberFormat="1" applyBorder="1"/>
    <xf numFmtId="14" fontId="0" fillId="0" borderId="21" xfId="0" applyNumberFormat="1" applyBorder="1"/>
    <xf numFmtId="0" fontId="0" fillId="0" borderId="35" xfId="0" applyBorder="1"/>
    <xf numFmtId="3" fontId="0" fillId="0" borderId="35" xfId="0" applyNumberFormat="1" applyBorder="1"/>
    <xf numFmtId="0" fontId="10" fillId="0" borderId="36" xfId="0" applyFont="1" applyBorder="1"/>
    <xf numFmtId="0" fontId="0" fillId="0" borderId="37" xfId="0" applyNumberFormat="1" applyBorder="1"/>
    <xf numFmtId="0" fontId="0" fillId="0" borderId="33" xfId="0" applyBorder="1"/>
    <xf numFmtId="0" fontId="0" fillId="0" borderId="38" xfId="0" applyNumberFormat="1" applyBorder="1"/>
    <xf numFmtId="20" fontId="0" fillId="0" borderId="3" xfId="0" applyNumberFormat="1" applyBorder="1"/>
    <xf numFmtId="20" fontId="0" fillId="0" borderId="39" xfId="0" applyNumberFormat="1" applyBorder="1"/>
    <xf numFmtId="0" fontId="0" fillId="0" borderId="40" xfId="0" applyBorder="1"/>
    <xf numFmtId="2" fontId="0" fillId="0" borderId="37" xfId="0" applyNumberFormat="1" applyBorder="1"/>
    <xf numFmtId="14" fontId="0" fillId="0" borderId="35" xfId="0" applyNumberFormat="1" applyBorder="1"/>
    <xf numFmtId="0" fontId="0" fillId="0" borderId="38" xfId="0" applyBorder="1"/>
    <xf numFmtId="0" fontId="0" fillId="0" borderId="3" xfId="0" applyBorder="1"/>
    <xf numFmtId="0" fontId="0" fillId="0" borderId="39" xfId="0" applyBorder="1"/>
    <xf numFmtId="0" fontId="0" fillId="0" borderId="37" xfId="0" applyBorder="1"/>
    <xf numFmtId="0" fontId="0" fillId="0" borderId="41" xfId="0" applyBorder="1" applyAlignment="1">
      <alignment horizontal="right"/>
    </xf>
    <xf numFmtId="0" fontId="0" fillId="0" borderId="37" xfId="0" applyNumberFormat="1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32" xfId="0" applyBorder="1"/>
    <xf numFmtId="49" fontId="0" fillId="0" borderId="37" xfId="0" applyNumberFormat="1" applyBorder="1" applyAlignment="1">
      <alignment horizontal="right"/>
    </xf>
    <xf numFmtId="0" fontId="0" fillId="0" borderId="35" xfId="0" applyFill="1" applyBorder="1"/>
    <xf numFmtId="0" fontId="0" fillId="0" borderId="36" xfId="0" applyBorder="1"/>
    <xf numFmtId="0" fontId="0" fillId="0" borderId="41" xfId="0" applyBorder="1"/>
    <xf numFmtId="3" fontId="12" fillId="0" borderId="35" xfId="0" applyNumberFormat="1" applyFont="1" applyBorder="1"/>
    <xf numFmtId="0" fontId="12" fillId="0" borderId="35" xfId="0" applyFont="1" applyBorder="1"/>
    <xf numFmtId="0" fontId="0" fillId="0" borderId="42" xfId="0" applyBorder="1"/>
    <xf numFmtId="0" fontId="11" fillId="0" borderId="37" xfId="0" applyFont="1" applyBorder="1"/>
    <xf numFmtId="0" fontId="0" fillId="0" borderId="25" xfId="0" applyBorder="1"/>
    <xf numFmtId="3" fontId="0" fillId="0" borderId="25" xfId="0" applyNumberFormat="1" applyBorder="1"/>
    <xf numFmtId="0" fontId="10" fillId="0" borderId="26" xfId="0" applyFont="1" applyBorder="1"/>
    <xf numFmtId="16" fontId="0" fillId="0" borderId="30" xfId="0" applyNumberFormat="1" applyBorder="1"/>
    <xf numFmtId="0" fontId="0" fillId="0" borderId="43" xfId="0" applyBorder="1"/>
    <xf numFmtId="0" fontId="0" fillId="0" borderId="44" xfId="0" applyFill="1" applyBorder="1"/>
    <xf numFmtId="0" fontId="0" fillId="0" borderId="30" xfId="0" applyBorder="1"/>
    <xf numFmtId="2" fontId="0" fillId="0" borderId="28" xfId="0" applyNumberFormat="1" applyFill="1" applyBorder="1"/>
    <xf numFmtId="0" fontId="0" fillId="0" borderId="45" xfId="0" applyBorder="1"/>
    <xf numFmtId="17" fontId="0" fillId="0" borderId="0" xfId="0" applyNumberFormat="1" applyBorder="1"/>
    <xf numFmtId="0" fontId="0" fillId="0" borderId="0" xfId="0" applyNumberFormat="1" applyBorder="1"/>
    <xf numFmtId="0" fontId="10" fillId="0" borderId="0" xfId="0" applyFont="1" applyFill="1" applyBorder="1"/>
    <xf numFmtId="0" fontId="13" fillId="0" borderId="0" xfId="0" applyFont="1" applyBorder="1"/>
    <xf numFmtId="0" fontId="0" fillId="0" borderId="46" xfId="0" applyBorder="1"/>
    <xf numFmtId="0" fontId="0" fillId="0" borderId="47" xfId="0" applyBorder="1"/>
    <xf numFmtId="1" fontId="3" fillId="2" borderId="3" xfId="0" applyNumberFormat="1" applyFont="1" applyFill="1" applyBorder="1" applyAlignment="1">
      <alignment horizontal="center"/>
    </xf>
    <xf numFmtId="164" fontId="2" fillId="0" borderId="3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 wrapText="1"/>
    </xf>
    <xf numFmtId="164" fontId="2" fillId="4" borderId="3" xfId="0" applyNumberFormat="1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4" xfId="0" applyFont="1" applyBorder="1"/>
    <xf numFmtId="0" fontId="2" fillId="3" borderId="23" xfId="0" applyFont="1" applyFill="1" applyBorder="1"/>
    <xf numFmtId="3" fontId="2" fillId="0" borderId="23" xfId="0" applyNumberFormat="1" applyFont="1" applyBorder="1"/>
    <xf numFmtId="167" fontId="2" fillId="0" borderId="3" xfId="0" applyNumberFormat="1" applyFont="1" applyBorder="1"/>
    <xf numFmtId="168" fontId="2" fillId="0" borderId="23" xfId="0" applyNumberFormat="1" applyFont="1" applyBorder="1"/>
    <xf numFmtId="0" fontId="2" fillId="0" borderId="0" xfId="0" applyFont="1"/>
    <xf numFmtId="0" fontId="2" fillId="0" borderId="38" xfId="0" applyFont="1" applyBorder="1"/>
    <xf numFmtId="0" fontId="2" fillId="3" borderId="3" xfId="0" applyFont="1" applyFill="1" applyBorder="1"/>
    <xf numFmtId="3" fontId="2" fillId="0" borderId="3" xfId="0" applyNumberFormat="1" applyFont="1" applyBorder="1"/>
    <xf numFmtId="168" fontId="2" fillId="0" borderId="3" xfId="0" applyNumberFormat="1" applyFont="1" applyBorder="1"/>
    <xf numFmtId="0" fontId="2" fillId="3" borderId="48" xfId="0" applyFont="1" applyFill="1" applyBorder="1"/>
    <xf numFmtId="167" fontId="2" fillId="0" borderId="3" xfId="0" applyNumberFormat="1" applyFont="1" applyBorder="1" applyAlignment="1">
      <alignment horizontal="right"/>
    </xf>
    <xf numFmtId="168" fontId="2" fillId="3" borderId="3" xfId="0" applyNumberFormat="1" applyFont="1" applyFill="1" applyBorder="1"/>
    <xf numFmtId="0" fontId="2" fillId="0" borderId="3" xfId="0" applyFont="1" applyFill="1" applyBorder="1"/>
    <xf numFmtId="167" fontId="2" fillId="0" borderId="3" xfId="0" applyNumberFormat="1" applyFont="1" applyFill="1" applyBorder="1"/>
    <xf numFmtId="0" fontId="2" fillId="0" borderId="32" xfId="0" applyFont="1" applyBorder="1"/>
    <xf numFmtId="1" fontId="2" fillId="3" borderId="3" xfId="0" applyNumberFormat="1" applyFont="1" applyFill="1" applyBorder="1"/>
    <xf numFmtId="0" fontId="2" fillId="0" borderId="27" xfId="0" applyFont="1" applyFill="1" applyBorder="1"/>
    <xf numFmtId="1" fontId="2" fillId="3" borderId="27" xfId="0" applyNumberFormat="1" applyFont="1" applyFill="1" applyBorder="1"/>
    <xf numFmtId="0" fontId="2" fillId="0" borderId="24" xfId="0" applyFont="1" applyBorder="1" applyAlignment="1">
      <alignment vertical="top"/>
    </xf>
    <xf numFmtId="1" fontId="2" fillId="0" borderId="23" xfId="0" applyNumberFormat="1" applyFont="1" applyBorder="1"/>
    <xf numFmtId="0" fontId="2" fillId="3" borderId="38" xfId="0" applyFont="1" applyFill="1" applyBorder="1" applyAlignment="1">
      <alignment vertical="top"/>
    </xf>
    <xf numFmtId="0" fontId="8" fillId="3" borderId="29" xfId="0" applyFont="1" applyFill="1" applyBorder="1" applyAlignment="1">
      <alignment/>
    </xf>
    <xf numFmtId="168" fontId="8" fillId="0" borderId="27" xfId="0" applyNumberFormat="1" applyFont="1" applyBorder="1"/>
    <xf numFmtId="1" fontId="8" fillId="0" borderId="27" xfId="0" applyNumberFormat="1" applyFont="1" applyBorder="1"/>
    <xf numFmtId="1" fontId="2" fillId="3" borderId="48" xfId="0" applyNumberFormat="1" applyFont="1" applyFill="1" applyBorder="1"/>
    <xf numFmtId="0" fontId="2" fillId="3" borderId="49" xfId="0" applyFont="1" applyFill="1" applyBorder="1"/>
    <xf numFmtId="1" fontId="2" fillId="3" borderId="38" xfId="0" applyNumberFormat="1" applyFont="1" applyFill="1" applyBorder="1" applyAlignment="1">
      <alignment vertical="top"/>
    </xf>
    <xf numFmtId="168" fontId="2" fillId="0" borderId="3" xfId="0" applyNumberFormat="1" applyFont="1" applyFill="1" applyBorder="1"/>
    <xf numFmtId="1" fontId="2" fillId="0" borderId="3" xfId="0" applyNumberFormat="1" applyFont="1" applyBorder="1"/>
    <xf numFmtId="168" fontId="2" fillId="0" borderId="27" xfId="0" applyNumberFormat="1" applyFont="1" applyFill="1" applyBorder="1"/>
    <xf numFmtId="1" fontId="2" fillId="0" borderId="27" xfId="0" applyNumberFormat="1" applyFont="1" applyBorder="1"/>
    <xf numFmtId="167" fontId="2" fillId="0" borderId="3" xfId="0" applyNumberFormat="1" applyFont="1" applyFill="1" applyBorder="1" applyAlignment="1">
      <alignment horizontal="right"/>
    </xf>
    <xf numFmtId="3" fontId="2" fillId="0" borderId="49" xfId="0" applyNumberFormat="1" applyFont="1" applyBorder="1"/>
    <xf numFmtId="3" fontId="2" fillId="0" borderId="50" xfId="0" applyNumberFormat="1" applyFont="1" applyBorder="1"/>
    <xf numFmtId="168" fontId="2" fillId="0" borderId="36" xfId="0" applyNumberFormat="1" applyFont="1" applyBorder="1"/>
    <xf numFmtId="168" fontId="2" fillId="0" borderId="26" xfId="0" applyNumberFormat="1" applyFont="1" applyBorder="1"/>
    <xf numFmtId="167" fontId="2" fillId="0" borderId="48" xfId="0" applyNumberFormat="1" applyFont="1" applyFill="1" applyBorder="1"/>
    <xf numFmtId="167" fontId="2" fillId="3" borderId="3" xfId="0" applyNumberFormat="1" applyFont="1" applyFill="1" applyBorder="1" applyAlignment="1">
      <alignment horizontal="right"/>
    </xf>
    <xf numFmtId="167" fontId="2" fillId="0" borderId="27" xfId="0" applyNumberFormat="1" applyFont="1" applyFill="1" applyBorder="1" applyAlignment="1">
      <alignment horizontal="right"/>
    </xf>
    <xf numFmtId="1" fontId="2" fillId="0" borderId="51" xfId="0" applyNumberFormat="1" applyFont="1" applyBorder="1"/>
    <xf numFmtId="1" fontId="2" fillId="3" borderId="36" xfId="0" applyNumberFormat="1" applyFont="1" applyFill="1" applyBorder="1" applyAlignment="1">
      <alignment vertical="top"/>
    </xf>
    <xf numFmtId="168" fontId="2" fillId="0" borderId="36" xfId="0" applyNumberFormat="1" applyFont="1" applyFill="1" applyBorder="1"/>
    <xf numFmtId="1" fontId="2" fillId="0" borderId="3" xfId="0" applyNumberFormat="1" applyFont="1" applyFill="1" applyBorder="1"/>
    <xf numFmtId="0" fontId="2" fillId="0" borderId="40" xfId="0" applyFont="1" applyFill="1" applyBorder="1"/>
    <xf numFmtId="0" fontId="7" fillId="2" borderId="24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2" fillId="3" borderId="53" xfId="0" applyFont="1" applyFill="1" applyBorder="1"/>
    <xf numFmtId="1" fontId="2" fillId="3" borderId="49" xfId="0" applyNumberFormat="1" applyFont="1" applyFill="1" applyBorder="1"/>
    <xf numFmtId="1" fontId="2" fillId="0" borderId="49" xfId="0" applyNumberFormat="1" applyFont="1" applyBorder="1"/>
    <xf numFmtId="1" fontId="2" fillId="0" borderId="49" xfId="0" applyNumberFormat="1" applyFont="1" applyFill="1" applyBorder="1"/>
    <xf numFmtId="1" fontId="2" fillId="0" borderId="50" xfId="0" applyNumberFormat="1" applyFont="1" applyBorder="1"/>
    <xf numFmtId="0" fontId="3" fillId="2" borderId="34" xfId="0" applyFont="1" applyFill="1" applyBorder="1" applyAlignment="1">
      <alignment horizontal="center" vertical="center" wrapText="1"/>
    </xf>
    <xf numFmtId="0" fontId="2" fillId="0" borderId="40" xfId="0" applyFont="1" applyBorder="1"/>
    <xf numFmtId="0" fontId="2" fillId="0" borderId="30" xfId="0" applyFont="1" applyBorder="1"/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vertical="top"/>
    </xf>
    <xf numFmtId="0" fontId="4" fillId="2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2" borderId="5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top"/>
    </xf>
    <xf numFmtId="0" fontId="2" fillId="0" borderId="57" xfId="0" applyFont="1" applyBorder="1" applyAlignment="1">
      <alignment horizontal="left" vertical="top"/>
    </xf>
    <xf numFmtId="0" fontId="2" fillId="0" borderId="42" xfId="0" applyFont="1" applyBorder="1" applyAlignment="1">
      <alignment horizontal="left" vertical="top"/>
    </xf>
    <xf numFmtId="0" fontId="2" fillId="0" borderId="58" xfId="0" applyFont="1" applyBorder="1" applyAlignment="1">
      <alignment horizontal="left" vertical="top"/>
    </xf>
    <xf numFmtId="0" fontId="8" fillId="3" borderId="47" xfId="0" applyFont="1" applyFill="1" applyBorder="1" applyAlignment="1">
      <alignment horizontal="left"/>
    </xf>
    <xf numFmtId="0" fontId="8" fillId="3" borderId="46" xfId="0" applyFont="1" applyFill="1" applyBorder="1" applyAlignment="1">
      <alignment horizontal="left"/>
    </xf>
    <xf numFmtId="0" fontId="16" fillId="2" borderId="54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6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workbookViewId="0" topLeftCell="A1">
      <selection activeCell="I14" sqref="I14"/>
    </sheetView>
  </sheetViews>
  <sheetFormatPr defaultColWidth="9.00390625" defaultRowHeight="12.75"/>
  <cols>
    <col min="1" max="1" width="47.00390625" style="24" customWidth="1"/>
    <col min="2" max="2" width="14.875" style="24" customWidth="1"/>
    <col min="3" max="3" width="13.625" style="26" customWidth="1"/>
    <col min="4" max="4" width="15.125" style="27" customWidth="1"/>
    <col min="5" max="5" width="15.75390625" style="24" bestFit="1" customWidth="1"/>
    <col min="6" max="6" width="15.75390625" style="24" customWidth="1"/>
    <col min="7" max="7" width="14.25390625" style="24" customWidth="1"/>
    <col min="8" max="8" width="11.25390625" style="24" customWidth="1"/>
    <col min="9" max="16384" width="9.125" style="24" customWidth="1"/>
  </cols>
  <sheetData>
    <row r="1" spans="1:8" s="9" customFormat="1" ht="23.25" customHeight="1">
      <c r="A1" s="218" t="s">
        <v>137</v>
      </c>
      <c r="B1" s="218"/>
      <c r="C1" s="218"/>
      <c r="D1" s="218"/>
      <c r="E1" s="218"/>
      <c r="F1" s="218"/>
      <c r="G1" s="218"/>
      <c r="H1" s="8"/>
    </row>
    <row r="2" spans="1:8" s="9" customFormat="1" ht="23.25" customHeight="1">
      <c r="A2" s="8"/>
      <c r="B2" s="8"/>
      <c r="C2" s="10"/>
      <c r="D2" s="11"/>
      <c r="E2" s="8"/>
      <c r="F2" s="8"/>
      <c r="G2" s="8"/>
      <c r="H2" s="8"/>
    </row>
    <row r="3" spans="1:6" s="9" customFormat="1" ht="12.75" customHeight="1">
      <c r="A3" s="12"/>
      <c r="B3" s="13"/>
      <c r="C3" s="14"/>
      <c r="D3" s="15"/>
      <c r="E3" s="16"/>
      <c r="F3" s="16"/>
    </row>
    <row r="4" spans="1:7" s="9" customFormat="1" ht="52.5">
      <c r="A4" s="17" t="s">
        <v>11</v>
      </c>
      <c r="B4" s="18" t="s">
        <v>157</v>
      </c>
      <c r="C4" s="19" t="s">
        <v>144</v>
      </c>
      <c r="D4" s="20" t="s">
        <v>146</v>
      </c>
      <c r="E4" s="19" t="s">
        <v>7</v>
      </c>
      <c r="F4" s="20" t="s">
        <v>148</v>
      </c>
      <c r="G4" s="20" t="s">
        <v>147</v>
      </c>
    </row>
    <row r="5" spans="1:7" s="9" customFormat="1" ht="42">
      <c r="A5" s="145" t="s">
        <v>145</v>
      </c>
      <c r="B5" s="146">
        <v>0</v>
      </c>
      <c r="C5" s="147">
        <v>43</v>
      </c>
      <c r="D5" s="142">
        <f>B5*C5</f>
        <v>0</v>
      </c>
      <c r="E5" s="143">
        <f>D5*0.2</f>
        <v>0</v>
      </c>
      <c r="F5" s="143">
        <f>D5*24</f>
        <v>0</v>
      </c>
      <c r="G5" s="141">
        <f aca="true" t="shared" si="0" ref="G5">(D5+E5)*24</f>
        <v>0</v>
      </c>
    </row>
    <row r="6" s="9" customFormat="1" ht="12.75" customHeight="1">
      <c r="A6" s="22"/>
    </row>
    <row r="7" spans="1:7" s="9" customFormat="1" ht="52.5">
      <c r="A7" s="17" t="s">
        <v>10</v>
      </c>
      <c r="B7" s="18" t="s">
        <v>13</v>
      </c>
      <c r="C7" s="19" t="s">
        <v>12</v>
      </c>
      <c r="D7" s="20" t="s">
        <v>146</v>
      </c>
      <c r="E7" s="19" t="s">
        <v>7</v>
      </c>
      <c r="F7" s="20" t="s">
        <v>148</v>
      </c>
      <c r="G7" s="20" t="s">
        <v>147</v>
      </c>
    </row>
    <row r="8" spans="1:7" s="9" customFormat="1" ht="12.75">
      <c r="A8" s="23" t="s">
        <v>8</v>
      </c>
      <c r="B8" s="21">
        <v>0</v>
      </c>
      <c r="C8" s="140">
        <f>'Technická data'!G55</f>
        <v>125.83125000000001</v>
      </c>
      <c r="D8" s="142">
        <f>B8*C8</f>
        <v>0</v>
      </c>
      <c r="E8" s="143">
        <f>D8*0.2</f>
        <v>0</v>
      </c>
      <c r="F8" s="143">
        <f>D8*24</f>
        <v>0</v>
      </c>
      <c r="G8" s="144">
        <f aca="true" t="shared" si="1" ref="G8">(D8+E8)*24</f>
        <v>0</v>
      </c>
    </row>
    <row r="9" spans="1:7" ht="12.75" customHeight="1">
      <c r="A9" s="23" t="s">
        <v>1</v>
      </c>
      <c r="B9" s="21">
        <v>0</v>
      </c>
      <c r="C9" s="140">
        <f>'Technická data'!H55</f>
        <v>609.7791666666666</v>
      </c>
      <c r="D9" s="142">
        <f aca="true" t="shared" si="2" ref="D9:D12">B9*C9</f>
        <v>0</v>
      </c>
      <c r="E9" s="143">
        <f>D9*0.2</f>
        <v>0</v>
      </c>
      <c r="F9" s="143">
        <f aca="true" t="shared" si="3" ref="F9:F12">D9*24</f>
        <v>0</v>
      </c>
      <c r="G9" s="144">
        <f>(D9+E9)*24</f>
        <v>0</v>
      </c>
    </row>
    <row r="10" spans="1:7" ht="12.75" customHeight="1">
      <c r="A10" s="23" t="s">
        <v>3</v>
      </c>
      <c r="B10" s="21">
        <v>0</v>
      </c>
      <c r="C10" s="140">
        <f>'Technická data'!I55</f>
        <v>4470.329166666668</v>
      </c>
      <c r="D10" s="142">
        <f t="shared" si="2"/>
        <v>0</v>
      </c>
      <c r="E10" s="143">
        <f aca="true" t="shared" si="4" ref="E10:E12">D10*0.2</f>
        <v>0</v>
      </c>
      <c r="F10" s="143">
        <f t="shared" si="3"/>
        <v>0</v>
      </c>
      <c r="G10" s="144">
        <f>(D10+E10)*24</f>
        <v>0</v>
      </c>
    </row>
    <row r="11" spans="1:7" s="25" customFormat="1" ht="12.75">
      <c r="A11" s="23" t="s">
        <v>4</v>
      </c>
      <c r="B11" s="21">
        <v>0</v>
      </c>
      <c r="C11" s="140">
        <f>'Technická data'!J55</f>
        <v>478.06250000000006</v>
      </c>
      <c r="D11" s="142">
        <f t="shared" si="2"/>
        <v>0</v>
      </c>
      <c r="E11" s="143">
        <f t="shared" si="4"/>
        <v>0</v>
      </c>
      <c r="F11" s="143">
        <f t="shared" si="3"/>
        <v>0</v>
      </c>
      <c r="G11" s="144">
        <f>(D11+E11)*24</f>
        <v>0</v>
      </c>
    </row>
    <row r="12" spans="1:7" ht="12.75">
      <c r="A12" s="23" t="s">
        <v>160</v>
      </c>
      <c r="B12" s="21">
        <v>0</v>
      </c>
      <c r="C12" s="140">
        <f>'Technická data'!K55</f>
        <v>387.68333333333334</v>
      </c>
      <c r="D12" s="142">
        <f t="shared" si="2"/>
        <v>0</v>
      </c>
      <c r="E12" s="143">
        <f t="shared" si="4"/>
        <v>0</v>
      </c>
      <c r="F12" s="143">
        <f t="shared" si="3"/>
        <v>0</v>
      </c>
      <c r="G12" s="144">
        <f>(D12+E12)*24</f>
        <v>0</v>
      </c>
    </row>
    <row r="14" spans="1:7" ht="52.5">
      <c r="A14" s="22" t="s">
        <v>159</v>
      </c>
      <c r="B14" s="18" t="s">
        <v>14</v>
      </c>
      <c r="C14" s="19" t="s">
        <v>15</v>
      </c>
      <c r="D14" s="20" t="s">
        <v>146</v>
      </c>
      <c r="E14" s="19" t="s">
        <v>7</v>
      </c>
      <c r="F14" s="20" t="s">
        <v>148</v>
      </c>
      <c r="G14" s="20" t="s">
        <v>147</v>
      </c>
    </row>
    <row r="15" spans="1:7" ht="12.75">
      <c r="A15" s="23" t="s">
        <v>2</v>
      </c>
      <c r="B15" s="21">
        <v>0</v>
      </c>
      <c r="C15" s="140">
        <f>'Technická data'!M55</f>
        <v>932.2645833333335</v>
      </c>
      <c r="D15" s="142">
        <f>B15*C15</f>
        <v>0</v>
      </c>
      <c r="E15" s="143">
        <f>D15*0.2</f>
        <v>0</v>
      </c>
      <c r="F15" s="143">
        <f>D15*24</f>
        <v>0</v>
      </c>
      <c r="G15" s="141">
        <f>(D15+E15)*24</f>
        <v>0</v>
      </c>
    </row>
    <row r="16" s="28" customFormat="1" ht="11.25" thickBot="1">
      <c r="F16" s="152"/>
    </row>
    <row r="17" spans="1:7" s="28" customFormat="1" ht="11.25" thickBot="1">
      <c r="A17" s="29" t="s">
        <v>9</v>
      </c>
      <c r="B17" s="30"/>
      <c r="C17" s="31"/>
      <c r="D17" s="32">
        <f>SUM(D5:D5,D8:D12,D15:D15)</f>
        <v>0</v>
      </c>
      <c r="E17" s="32">
        <f>SUM(E5:E5,E8:E12,E15:E15)</f>
        <v>0</v>
      </c>
      <c r="F17" s="32">
        <f>F5+F8+F9+F10+F11+F12+F15</f>
        <v>0</v>
      </c>
      <c r="G17" s="32">
        <f>SUM(G5:G5,G8:G12,G15:G15)</f>
        <v>0</v>
      </c>
    </row>
    <row r="18" spans="1:6" s="28" customFormat="1" ht="12.75">
      <c r="A18" s="33"/>
      <c r="B18" s="34"/>
      <c r="C18" s="34"/>
      <c r="F18" s="152"/>
    </row>
    <row r="19" spans="1:7" s="28" customFormat="1" ht="12.75">
      <c r="A19" s="35" t="s">
        <v>0</v>
      </c>
      <c r="B19" s="36"/>
      <c r="C19" s="36"/>
      <c r="D19" s="36"/>
      <c r="E19" s="36"/>
      <c r="F19" s="36"/>
      <c r="G19" s="36"/>
    </row>
    <row r="20" spans="1:7" s="28" customFormat="1" ht="12.75">
      <c r="A20" s="28" t="s">
        <v>6</v>
      </c>
      <c r="B20" s="36"/>
      <c r="C20" s="36"/>
      <c r="D20" s="36"/>
      <c r="E20" s="36"/>
      <c r="F20" s="36"/>
      <c r="G20" s="36"/>
    </row>
    <row r="21" spans="1:7" s="28" customFormat="1" ht="12.75" customHeight="1">
      <c r="A21" s="28" t="s">
        <v>5</v>
      </c>
      <c r="B21" s="219"/>
      <c r="C21" s="219"/>
      <c r="D21" s="36"/>
      <c r="E21" s="36"/>
      <c r="F21" s="36"/>
      <c r="G21" s="36"/>
    </row>
    <row r="22" spans="2:7" s="28" customFormat="1" ht="12.75">
      <c r="B22" s="36"/>
      <c r="C22" s="36"/>
      <c r="D22" s="36"/>
      <c r="E22" s="36"/>
      <c r="F22" s="36"/>
      <c r="G22" s="36"/>
    </row>
    <row r="23" spans="1:6" s="28" customFormat="1" ht="12.75">
      <c r="A23" s="28" t="s">
        <v>158</v>
      </c>
      <c r="B23" s="37"/>
      <c r="C23" s="220"/>
      <c r="D23" s="220"/>
      <c r="E23" s="220"/>
      <c r="F23" s="151"/>
    </row>
    <row r="24" spans="1:6" s="28" customFormat="1" ht="12.75">
      <c r="A24" s="24"/>
      <c r="B24" s="37"/>
      <c r="C24" s="221"/>
      <c r="D24" s="221"/>
      <c r="E24" s="221"/>
      <c r="F24" s="152"/>
    </row>
    <row r="25" spans="1:7" s="28" customFormat="1" ht="12.75">
      <c r="A25" s="35"/>
      <c r="B25" s="38"/>
      <c r="C25" s="222"/>
      <c r="D25" s="222"/>
      <c r="E25" s="222"/>
      <c r="F25" s="153"/>
      <c r="G25" s="39"/>
    </row>
    <row r="26" spans="1:7" s="28" customFormat="1" ht="12.75">
      <c r="A26" s="40"/>
      <c r="B26" s="38"/>
      <c r="C26" s="216"/>
      <c r="D26" s="216"/>
      <c r="E26" s="216"/>
      <c r="F26" s="148"/>
      <c r="G26" s="39"/>
    </row>
    <row r="27" spans="1:7" s="28" customFormat="1" ht="12.75">
      <c r="A27" s="41"/>
      <c r="B27" s="38"/>
      <c r="C27" s="217"/>
      <c r="D27" s="217"/>
      <c r="E27" s="217"/>
      <c r="F27" s="149"/>
      <c r="G27" s="42"/>
    </row>
    <row r="28" spans="2:7" s="28" customFormat="1" ht="12.75">
      <c r="B28" s="38"/>
      <c r="C28" s="217"/>
      <c r="D28" s="217"/>
      <c r="E28" s="217"/>
      <c r="F28" s="149"/>
      <c r="G28" s="43"/>
    </row>
    <row r="29" spans="2:6" s="28" customFormat="1" ht="12.75">
      <c r="B29" s="44"/>
      <c r="F29" s="152"/>
    </row>
    <row r="30" spans="1:6" s="28" customFormat="1" ht="12.75">
      <c r="A30" s="24"/>
      <c r="F30" s="152"/>
    </row>
    <row r="41" spans="2:7" ht="12.75">
      <c r="B41" s="40"/>
      <c r="C41" s="14"/>
      <c r="D41" s="42"/>
      <c r="E41" s="14"/>
      <c r="F41" s="14"/>
      <c r="G41" s="42"/>
    </row>
    <row r="42" spans="2:7" ht="12.75">
      <c r="B42" s="45"/>
      <c r="C42" s="46"/>
      <c r="D42" s="43"/>
      <c r="E42" s="46"/>
      <c r="F42" s="46"/>
      <c r="G42" s="43"/>
    </row>
    <row r="43" spans="2:7" ht="12.75">
      <c r="B43" s="45"/>
      <c r="C43" s="46"/>
      <c r="D43" s="43"/>
      <c r="E43" s="46"/>
      <c r="F43" s="46"/>
      <c r="G43" s="43"/>
    </row>
    <row r="44" spans="2:7" ht="12.75">
      <c r="B44" s="45"/>
      <c r="C44" s="46"/>
      <c r="D44" s="43"/>
      <c r="E44" s="46"/>
      <c r="F44" s="46"/>
      <c r="G44" s="43"/>
    </row>
    <row r="45" spans="1:7" ht="12.75">
      <c r="A45" s="33"/>
      <c r="B45" s="45"/>
      <c r="C45" s="46"/>
      <c r="D45" s="43"/>
      <c r="E45" s="46"/>
      <c r="F45" s="46"/>
      <c r="G45" s="43"/>
    </row>
    <row r="46" spans="1:7" ht="12.75">
      <c r="A46" s="13"/>
      <c r="B46" s="45"/>
      <c r="C46" s="46"/>
      <c r="D46" s="43"/>
      <c r="E46" s="46"/>
      <c r="F46" s="46"/>
      <c r="G46" s="43"/>
    </row>
    <row r="47" spans="1:7" ht="12.75">
      <c r="A47" s="41"/>
      <c r="B47" s="47"/>
      <c r="C47" s="47"/>
      <c r="D47" s="48"/>
      <c r="E47" s="47"/>
      <c r="F47" s="150"/>
      <c r="G47" s="48"/>
    </row>
    <row r="48" spans="1:7" ht="12.75">
      <c r="A48" s="49"/>
      <c r="B48" s="41"/>
      <c r="C48" s="46"/>
      <c r="D48" s="43"/>
      <c r="E48" s="41"/>
      <c r="F48" s="41"/>
      <c r="G48" s="41"/>
    </row>
    <row r="49" spans="2:7" ht="12.75">
      <c r="B49" s="49"/>
      <c r="C49" s="50"/>
      <c r="D49" s="51"/>
      <c r="E49" s="49"/>
      <c r="F49" s="49"/>
      <c r="G49" s="49"/>
    </row>
  </sheetData>
  <mergeCells count="8">
    <mergeCell ref="C26:E26"/>
    <mergeCell ref="C27:E27"/>
    <mergeCell ref="C28:E28"/>
    <mergeCell ref="A1:G1"/>
    <mergeCell ref="B21:C21"/>
    <mergeCell ref="C23:E23"/>
    <mergeCell ref="C24:E24"/>
    <mergeCell ref="C25:E25"/>
  </mergeCells>
  <printOptions horizontalCentered="1"/>
  <pageMargins left="0.1968503937007874" right="0.1968503937007874" top="0.3937007874015748" bottom="0.984251968503937" header="0.5118110236220472" footer="0.5118110236220472"/>
  <pageSetup fitToHeight="0" fitToWidth="1" horizontalDpi="600" verticalDpi="600" orientation="landscape" paperSize="9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 topLeftCell="A1">
      <pane xSplit="2" ySplit="4" topLeftCell="C23" activePane="bottomRight" state="frozen"/>
      <selection pane="topRight" activeCell="C1" sqref="C1"/>
      <selection pane="bottomLeft" activeCell="A5" sqref="A5"/>
      <selection pane="bottomRight" activeCell="F61" sqref="F61"/>
    </sheetView>
  </sheetViews>
  <sheetFormatPr defaultColWidth="9.00390625" defaultRowHeight="12.75"/>
  <cols>
    <col min="1" max="1" width="3.25390625" style="6" bestFit="1" customWidth="1"/>
    <col min="2" max="2" width="25.25390625" style="6" customWidth="1"/>
    <col min="3" max="3" width="12.75390625" style="6" bestFit="1" customWidth="1"/>
    <col min="4" max="4" width="17.00390625" style="6" customWidth="1"/>
    <col min="5" max="5" width="11.125" style="6" bestFit="1" customWidth="1"/>
    <col min="6" max="6" width="12.125" style="6" bestFit="1" customWidth="1"/>
    <col min="7" max="7" width="7.25390625" style="6" customWidth="1"/>
    <col min="8" max="8" width="10.625" style="6" bestFit="1" customWidth="1"/>
    <col min="9" max="9" width="11.625" style="6" bestFit="1" customWidth="1"/>
    <col min="10" max="10" width="10.625" style="6" bestFit="1" customWidth="1"/>
    <col min="11" max="11" width="9.25390625" style="6" customWidth="1"/>
    <col min="12" max="12" width="12.875" style="6" bestFit="1" customWidth="1"/>
    <col min="13" max="13" width="10.25390625" style="6" customWidth="1"/>
    <col min="14" max="16384" width="9.125" style="6" customWidth="1"/>
  </cols>
  <sheetData>
    <row r="1" spans="1:13" ht="19.5" customHeight="1">
      <c r="A1" s="231" t="s">
        <v>136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6" ht="20.25" thickBot="1">
      <c r="A2" s="7"/>
      <c r="B2" s="7"/>
      <c r="C2" s="7"/>
      <c r="D2" s="7"/>
      <c r="E2" s="7"/>
      <c r="F2" s="7"/>
    </row>
    <row r="3" spans="1:13" ht="33.75" customHeight="1" thickBot="1">
      <c r="A3" s="228" t="s">
        <v>110</v>
      </c>
      <c r="B3" s="229"/>
      <c r="C3" s="229"/>
      <c r="D3" s="230"/>
      <c r="E3" s="223" t="s">
        <v>132</v>
      </c>
      <c r="F3" s="224"/>
      <c r="G3" s="225" t="s">
        <v>133</v>
      </c>
      <c r="H3" s="226"/>
      <c r="I3" s="226"/>
      <c r="J3" s="226"/>
      <c r="K3" s="226"/>
      <c r="L3" s="227"/>
      <c r="M3" s="201" t="s">
        <v>150</v>
      </c>
    </row>
    <row r="4" spans="1:14" ht="74.25" thickBot="1">
      <c r="A4" s="203" t="s">
        <v>17</v>
      </c>
      <c r="B4" s="204" t="s">
        <v>16</v>
      </c>
      <c r="C4" s="204" t="s">
        <v>102</v>
      </c>
      <c r="D4" s="204" t="s">
        <v>135</v>
      </c>
      <c r="E4" s="204" t="s">
        <v>101</v>
      </c>
      <c r="F4" s="205" t="s">
        <v>105</v>
      </c>
      <c r="G4" s="206" t="s">
        <v>8</v>
      </c>
      <c r="H4" s="3" t="s">
        <v>1</v>
      </c>
      <c r="I4" s="3" t="s">
        <v>3</v>
      </c>
      <c r="J4" s="3" t="s">
        <v>4</v>
      </c>
      <c r="K4" s="3" t="s">
        <v>117</v>
      </c>
      <c r="L4" s="4" t="s">
        <v>103</v>
      </c>
      <c r="M4" s="207" t="s">
        <v>18</v>
      </c>
      <c r="N4" s="213" t="s">
        <v>149</v>
      </c>
    </row>
    <row r="5" spans="1:14" ht="12.75">
      <c r="A5" s="156">
        <v>1</v>
      </c>
      <c r="B5" s="157" t="s">
        <v>19</v>
      </c>
      <c r="C5" s="158">
        <v>603215261</v>
      </c>
      <c r="D5" s="159">
        <v>41275</v>
      </c>
      <c r="E5" s="160">
        <v>900</v>
      </c>
      <c r="F5" s="160">
        <v>1444</v>
      </c>
      <c r="G5" s="157">
        <v>3</v>
      </c>
      <c r="H5" s="157">
        <v>13</v>
      </c>
      <c r="I5" s="157">
        <v>295</v>
      </c>
      <c r="J5" s="157">
        <v>5</v>
      </c>
      <c r="K5" s="157">
        <v>0</v>
      </c>
      <c r="L5" s="157">
        <f aca="true" t="shared" si="0" ref="L5:L26">SUM(G5:K5)</f>
        <v>316</v>
      </c>
      <c r="M5" s="208">
        <v>262</v>
      </c>
      <c r="N5" s="214"/>
    </row>
    <row r="6" spans="1:14" ht="12.75">
      <c r="A6" s="162">
        <v>2</v>
      </c>
      <c r="B6" s="163" t="s">
        <v>19</v>
      </c>
      <c r="C6" s="164">
        <v>605249274</v>
      </c>
      <c r="D6" s="159">
        <v>41275</v>
      </c>
      <c r="E6" s="165">
        <v>450</v>
      </c>
      <c r="F6" s="165">
        <v>306</v>
      </c>
      <c r="G6" s="163">
        <v>0</v>
      </c>
      <c r="H6" s="163">
        <v>14</v>
      </c>
      <c r="I6" s="163">
        <v>58</v>
      </c>
      <c r="J6" s="163">
        <v>1</v>
      </c>
      <c r="K6" s="166">
        <v>0</v>
      </c>
      <c r="L6" s="163">
        <f t="shared" si="0"/>
        <v>73</v>
      </c>
      <c r="M6" s="182">
        <v>34</v>
      </c>
      <c r="N6" s="214"/>
    </row>
    <row r="7" spans="1:14" ht="12.75">
      <c r="A7" s="162">
        <v>3</v>
      </c>
      <c r="B7" s="163" t="s">
        <v>19</v>
      </c>
      <c r="C7" s="164">
        <v>739031357</v>
      </c>
      <c r="D7" s="159">
        <v>41275</v>
      </c>
      <c r="E7" s="165">
        <v>190</v>
      </c>
      <c r="F7" s="165">
        <v>814</v>
      </c>
      <c r="G7" s="163">
        <v>5</v>
      </c>
      <c r="H7" s="163">
        <v>25</v>
      </c>
      <c r="I7" s="163">
        <v>183</v>
      </c>
      <c r="J7" s="163">
        <v>5</v>
      </c>
      <c r="K7" s="166">
        <v>0</v>
      </c>
      <c r="L7" s="163">
        <f t="shared" si="0"/>
        <v>218</v>
      </c>
      <c r="M7" s="182">
        <v>22</v>
      </c>
      <c r="N7" s="214"/>
    </row>
    <row r="8" spans="1:14" ht="12.75">
      <c r="A8" s="162">
        <v>4</v>
      </c>
      <c r="B8" s="163" t="s">
        <v>19</v>
      </c>
      <c r="C8" s="164">
        <v>605938920</v>
      </c>
      <c r="D8" s="167" t="s">
        <v>104</v>
      </c>
      <c r="E8" s="165">
        <v>1600</v>
      </c>
      <c r="F8" s="165">
        <v>1688</v>
      </c>
      <c r="G8" s="163">
        <v>0</v>
      </c>
      <c r="H8" s="163">
        <v>0</v>
      </c>
      <c r="I8" s="163">
        <f>1600*N8</f>
        <v>1500</v>
      </c>
      <c r="J8" s="163">
        <v>0</v>
      </c>
      <c r="K8" s="166">
        <v>0</v>
      </c>
      <c r="L8" s="163">
        <f t="shared" si="0"/>
        <v>1500</v>
      </c>
      <c r="M8" s="182">
        <v>0</v>
      </c>
      <c r="N8" s="214">
        <f>22.5/24</f>
        <v>0.9375</v>
      </c>
    </row>
    <row r="9" spans="1:14" ht="12.75">
      <c r="A9" s="162">
        <v>5</v>
      </c>
      <c r="B9" s="163" t="s">
        <v>19</v>
      </c>
      <c r="C9" s="164">
        <v>739337305</v>
      </c>
      <c r="D9" s="159">
        <v>41275</v>
      </c>
      <c r="E9" s="165">
        <v>450</v>
      </c>
      <c r="F9" s="165">
        <v>712</v>
      </c>
      <c r="G9" s="163">
        <v>7</v>
      </c>
      <c r="H9" s="163">
        <v>4</v>
      </c>
      <c r="I9" s="163">
        <v>164</v>
      </c>
      <c r="J9" s="163">
        <v>4</v>
      </c>
      <c r="K9" s="166">
        <v>0</v>
      </c>
      <c r="L9" s="163">
        <f t="shared" si="0"/>
        <v>179</v>
      </c>
      <c r="M9" s="182">
        <v>10</v>
      </c>
      <c r="N9" s="214"/>
    </row>
    <row r="10" spans="1:14" ht="12.75">
      <c r="A10" s="162">
        <v>6</v>
      </c>
      <c r="B10" s="163" t="s">
        <v>19</v>
      </c>
      <c r="C10" s="164">
        <v>733530653</v>
      </c>
      <c r="D10" s="159">
        <v>41275</v>
      </c>
      <c r="E10" s="165">
        <v>190</v>
      </c>
      <c r="F10" s="165">
        <v>449</v>
      </c>
      <c r="G10" s="163">
        <v>1</v>
      </c>
      <c r="H10" s="163">
        <v>7</v>
      </c>
      <c r="I10" s="163">
        <v>64</v>
      </c>
      <c r="J10" s="163">
        <v>10</v>
      </c>
      <c r="K10" s="166">
        <v>0</v>
      </c>
      <c r="L10" s="163">
        <f t="shared" si="0"/>
        <v>82</v>
      </c>
      <c r="M10" s="182">
        <v>8</v>
      </c>
      <c r="N10" s="214"/>
    </row>
    <row r="11" spans="1:14" ht="12.75">
      <c r="A11" s="162">
        <v>7</v>
      </c>
      <c r="B11" s="163" t="s">
        <v>19</v>
      </c>
      <c r="C11" s="164">
        <v>733530654</v>
      </c>
      <c r="D11" s="159">
        <v>41275</v>
      </c>
      <c r="E11" s="165">
        <v>190</v>
      </c>
      <c r="F11" s="165">
        <v>274</v>
      </c>
      <c r="G11" s="163">
        <v>0</v>
      </c>
      <c r="H11" s="163">
        <v>1</v>
      </c>
      <c r="I11" s="163">
        <v>45</v>
      </c>
      <c r="J11" s="163">
        <v>3</v>
      </c>
      <c r="K11" s="166">
        <v>0</v>
      </c>
      <c r="L11" s="163">
        <f t="shared" si="0"/>
        <v>49</v>
      </c>
      <c r="M11" s="182">
        <v>1</v>
      </c>
      <c r="N11" s="214"/>
    </row>
    <row r="12" spans="1:14" ht="12.75">
      <c r="A12" s="162">
        <v>8</v>
      </c>
      <c r="B12" s="163" t="s">
        <v>19</v>
      </c>
      <c r="C12" s="164">
        <v>603491393</v>
      </c>
      <c r="D12" s="159">
        <v>41275</v>
      </c>
      <c r="E12" s="165">
        <v>900</v>
      </c>
      <c r="F12" s="165">
        <v>1250</v>
      </c>
      <c r="G12" s="163">
        <v>22</v>
      </c>
      <c r="H12" s="163">
        <v>56</v>
      </c>
      <c r="I12" s="163">
        <v>260</v>
      </c>
      <c r="J12" s="163">
        <v>23</v>
      </c>
      <c r="K12" s="166">
        <v>0</v>
      </c>
      <c r="L12" s="163">
        <f t="shared" si="0"/>
        <v>361</v>
      </c>
      <c r="M12" s="182">
        <v>6</v>
      </c>
      <c r="N12" s="214"/>
    </row>
    <row r="13" spans="1:14" ht="12.75">
      <c r="A13" s="162">
        <v>9</v>
      </c>
      <c r="B13" s="163" t="s">
        <v>19</v>
      </c>
      <c r="C13" s="164">
        <v>603277368</v>
      </c>
      <c r="D13" s="159">
        <v>41275</v>
      </c>
      <c r="E13" s="165">
        <v>150</v>
      </c>
      <c r="F13" s="165">
        <v>252</v>
      </c>
      <c r="G13" s="163">
        <v>2</v>
      </c>
      <c r="H13" s="163">
        <v>9</v>
      </c>
      <c r="I13" s="163">
        <v>13</v>
      </c>
      <c r="J13" s="163">
        <v>2</v>
      </c>
      <c r="K13" s="166">
        <v>0</v>
      </c>
      <c r="L13" s="163">
        <f t="shared" si="0"/>
        <v>26</v>
      </c>
      <c r="M13" s="182">
        <v>4</v>
      </c>
      <c r="N13" s="214"/>
    </row>
    <row r="14" spans="1:14" ht="12.75">
      <c r="A14" s="162">
        <v>10</v>
      </c>
      <c r="B14" s="163" t="s">
        <v>19</v>
      </c>
      <c r="C14" s="164">
        <v>605249273</v>
      </c>
      <c r="D14" s="159">
        <v>41275</v>
      </c>
      <c r="E14" s="165">
        <v>450</v>
      </c>
      <c r="F14" s="165">
        <v>543</v>
      </c>
      <c r="G14" s="163">
        <v>2</v>
      </c>
      <c r="H14" s="163">
        <v>13</v>
      </c>
      <c r="I14" s="163">
        <v>95</v>
      </c>
      <c r="J14" s="163">
        <v>13</v>
      </c>
      <c r="K14" s="166">
        <v>0</v>
      </c>
      <c r="L14" s="163">
        <f t="shared" si="0"/>
        <v>123</v>
      </c>
      <c r="M14" s="182">
        <v>4</v>
      </c>
      <c r="N14" s="214"/>
    </row>
    <row r="15" spans="1:14" ht="12.75">
      <c r="A15" s="162">
        <v>11</v>
      </c>
      <c r="B15" s="163" t="s">
        <v>19</v>
      </c>
      <c r="C15" s="164">
        <v>605249272</v>
      </c>
      <c r="D15" s="159">
        <v>41275</v>
      </c>
      <c r="E15" s="165">
        <v>150</v>
      </c>
      <c r="F15" s="165">
        <v>317</v>
      </c>
      <c r="G15" s="163">
        <v>5</v>
      </c>
      <c r="H15" s="163">
        <v>9</v>
      </c>
      <c r="I15" s="163">
        <v>122</v>
      </c>
      <c r="J15" s="163">
        <v>1</v>
      </c>
      <c r="K15" s="166">
        <v>0</v>
      </c>
      <c r="L15" s="163">
        <f t="shared" si="0"/>
        <v>137</v>
      </c>
      <c r="M15" s="182">
        <v>8</v>
      </c>
      <c r="N15" s="214"/>
    </row>
    <row r="16" spans="1:14" ht="12.75">
      <c r="A16" s="162">
        <v>12</v>
      </c>
      <c r="B16" s="163" t="s">
        <v>19</v>
      </c>
      <c r="C16" s="164">
        <v>734256966</v>
      </c>
      <c r="D16" s="159">
        <v>41275</v>
      </c>
      <c r="E16" s="165">
        <v>200</v>
      </c>
      <c r="F16" s="165">
        <v>200</v>
      </c>
      <c r="G16" s="163">
        <v>5</v>
      </c>
      <c r="H16" s="163">
        <v>15</v>
      </c>
      <c r="I16" s="163">
        <v>20</v>
      </c>
      <c r="J16" s="163">
        <v>10</v>
      </c>
      <c r="K16" s="166">
        <v>0</v>
      </c>
      <c r="L16" s="163">
        <f t="shared" si="0"/>
        <v>50</v>
      </c>
      <c r="M16" s="182">
        <v>10</v>
      </c>
      <c r="N16" s="214"/>
    </row>
    <row r="17" spans="1:14" ht="12.75">
      <c r="A17" s="162">
        <v>13</v>
      </c>
      <c r="B17" s="163" t="s">
        <v>19</v>
      </c>
      <c r="C17" s="164">
        <v>733530655</v>
      </c>
      <c r="D17" s="159">
        <v>41275</v>
      </c>
      <c r="E17" s="165">
        <v>190</v>
      </c>
      <c r="F17" s="165">
        <v>257</v>
      </c>
      <c r="G17" s="163">
        <v>0</v>
      </c>
      <c r="H17" s="163">
        <v>4</v>
      </c>
      <c r="I17" s="163">
        <v>42</v>
      </c>
      <c r="J17" s="163">
        <v>1</v>
      </c>
      <c r="K17" s="166">
        <v>0</v>
      </c>
      <c r="L17" s="163">
        <f t="shared" si="0"/>
        <v>47</v>
      </c>
      <c r="M17" s="182">
        <v>3</v>
      </c>
      <c r="N17" s="214"/>
    </row>
    <row r="18" spans="1:14" ht="12.75">
      <c r="A18" s="162">
        <v>14</v>
      </c>
      <c r="B18" s="163" t="s">
        <v>19</v>
      </c>
      <c r="C18" s="164">
        <v>604647608</v>
      </c>
      <c r="D18" s="159">
        <v>41275</v>
      </c>
      <c r="E18" s="165">
        <v>450</v>
      </c>
      <c r="F18" s="165">
        <v>802</v>
      </c>
      <c r="G18" s="163">
        <v>13</v>
      </c>
      <c r="H18" s="163">
        <v>33</v>
      </c>
      <c r="I18" s="163">
        <v>182</v>
      </c>
      <c r="J18" s="163">
        <v>18</v>
      </c>
      <c r="K18" s="166">
        <v>0</v>
      </c>
      <c r="L18" s="163">
        <f t="shared" si="0"/>
        <v>246</v>
      </c>
      <c r="M18" s="182">
        <v>18</v>
      </c>
      <c r="N18" s="214"/>
    </row>
    <row r="19" spans="1:14" ht="12.75">
      <c r="A19" s="162">
        <v>15</v>
      </c>
      <c r="B19" s="163" t="s">
        <v>19</v>
      </c>
      <c r="C19" s="164">
        <v>734230744</v>
      </c>
      <c r="D19" s="159">
        <v>41275</v>
      </c>
      <c r="E19" s="165">
        <v>200</v>
      </c>
      <c r="F19" s="165">
        <v>200</v>
      </c>
      <c r="G19" s="163">
        <v>4</v>
      </c>
      <c r="H19" s="163">
        <v>1</v>
      </c>
      <c r="I19" s="163">
        <v>14</v>
      </c>
      <c r="J19" s="163">
        <v>1</v>
      </c>
      <c r="K19" s="166">
        <v>0</v>
      </c>
      <c r="L19" s="163">
        <f t="shared" si="0"/>
        <v>20</v>
      </c>
      <c r="M19" s="182">
        <v>19</v>
      </c>
      <c r="N19" s="214"/>
    </row>
    <row r="20" spans="1:14" ht="12.75">
      <c r="A20" s="162">
        <v>16</v>
      </c>
      <c r="B20" s="163" t="s">
        <v>19</v>
      </c>
      <c r="C20" s="164">
        <v>734230746</v>
      </c>
      <c r="D20" s="159">
        <v>41275</v>
      </c>
      <c r="E20" s="165">
        <v>200</v>
      </c>
      <c r="F20" s="165">
        <v>200</v>
      </c>
      <c r="G20" s="163">
        <v>1</v>
      </c>
      <c r="H20" s="163">
        <v>0</v>
      </c>
      <c r="I20" s="163">
        <v>6</v>
      </c>
      <c r="J20" s="163">
        <v>0</v>
      </c>
      <c r="K20" s="166">
        <v>0</v>
      </c>
      <c r="L20" s="163">
        <f t="shared" si="0"/>
        <v>7</v>
      </c>
      <c r="M20" s="182">
        <v>0</v>
      </c>
      <c r="N20" s="214"/>
    </row>
    <row r="21" spans="1:14" ht="12.75">
      <c r="A21" s="162">
        <v>17</v>
      </c>
      <c r="B21" s="163" t="s">
        <v>19</v>
      </c>
      <c r="C21" s="164">
        <v>734230745</v>
      </c>
      <c r="D21" s="159">
        <v>41275</v>
      </c>
      <c r="E21" s="165">
        <v>200</v>
      </c>
      <c r="F21" s="165">
        <v>200</v>
      </c>
      <c r="G21" s="163">
        <v>1</v>
      </c>
      <c r="H21" s="163">
        <v>13</v>
      </c>
      <c r="I21" s="163">
        <v>9</v>
      </c>
      <c r="J21" s="163">
        <v>36</v>
      </c>
      <c r="K21" s="166">
        <v>0</v>
      </c>
      <c r="L21" s="163">
        <f t="shared" si="0"/>
        <v>59</v>
      </c>
      <c r="M21" s="182">
        <v>3</v>
      </c>
      <c r="N21" s="214"/>
    </row>
    <row r="22" spans="1:14" ht="12.75">
      <c r="A22" s="162">
        <v>18</v>
      </c>
      <c r="B22" s="163" t="s">
        <v>19</v>
      </c>
      <c r="C22" s="164">
        <v>737463779</v>
      </c>
      <c r="D22" s="159">
        <v>41275</v>
      </c>
      <c r="E22" s="168">
        <v>0</v>
      </c>
      <c r="F22" s="165">
        <v>100</v>
      </c>
      <c r="G22" s="163">
        <v>1</v>
      </c>
      <c r="H22" s="163">
        <v>3</v>
      </c>
      <c r="I22" s="163">
        <v>3</v>
      </c>
      <c r="J22" s="163">
        <v>3</v>
      </c>
      <c r="K22" s="166">
        <v>0</v>
      </c>
      <c r="L22" s="163">
        <f t="shared" si="0"/>
        <v>10</v>
      </c>
      <c r="M22" s="182">
        <v>5</v>
      </c>
      <c r="N22" s="214"/>
    </row>
    <row r="23" spans="1:14" ht="12.75">
      <c r="A23" s="162">
        <v>19</v>
      </c>
      <c r="B23" s="163" t="s">
        <v>19</v>
      </c>
      <c r="C23" s="164">
        <v>736183432</v>
      </c>
      <c r="D23" s="159">
        <v>41275</v>
      </c>
      <c r="E23" s="168">
        <v>0</v>
      </c>
      <c r="F23" s="165">
        <v>100</v>
      </c>
      <c r="G23" s="163">
        <v>1</v>
      </c>
      <c r="H23" s="163">
        <v>3</v>
      </c>
      <c r="I23" s="163">
        <v>3</v>
      </c>
      <c r="J23" s="163">
        <v>3</v>
      </c>
      <c r="K23" s="166">
        <v>0</v>
      </c>
      <c r="L23" s="163">
        <f t="shared" si="0"/>
        <v>10</v>
      </c>
      <c r="M23" s="182">
        <v>5</v>
      </c>
      <c r="N23" s="214"/>
    </row>
    <row r="24" spans="1:14" ht="12.75">
      <c r="A24" s="162">
        <v>20</v>
      </c>
      <c r="B24" s="163" t="s">
        <v>19</v>
      </c>
      <c r="C24" s="164">
        <v>736488233</v>
      </c>
      <c r="D24" s="159">
        <v>41275</v>
      </c>
      <c r="E24" s="168">
        <v>0</v>
      </c>
      <c r="F24" s="165">
        <v>200</v>
      </c>
      <c r="G24" s="163">
        <v>3</v>
      </c>
      <c r="H24" s="163">
        <v>9</v>
      </c>
      <c r="I24" s="163">
        <v>9</v>
      </c>
      <c r="J24" s="163">
        <v>9</v>
      </c>
      <c r="K24" s="166">
        <v>0</v>
      </c>
      <c r="L24" s="163">
        <f t="shared" si="0"/>
        <v>30</v>
      </c>
      <c r="M24" s="182">
        <v>5</v>
      </c>
      <c r="N24" s="214"/>
    </row>
    <row r="25" spans="1:14" ht="12.75">
      <c r="A25" s="162">
        <v>21</v>
      </c>
      <c r="B25" s="169" t="s">
        <v>20</v>
      </c>
      <c r="C25" s="164">
        <v>739069152</v>
      </c>
      <c r="D25" s="188" t="s">
        <v>143</v>
      </c>
      <c r="E25" s="168">
        <v>450</v>
      </c>
      <c r="F25" s="184">
        <f>656/1.2</f>
        <v>546.6666666666667</v>
      </c>
      <c r="G25" s="172">
        <f>6*N25</f>
        <v>3.125</v>
      </c>
      <c r="H25" s="172">
        <f>19*N25</f>
        <v>9.895833333333334</v>
      </c>
      <c r="I25" s="172">
        <f>124*N25</f>
        <v>64.58333333333334</v>
      </c>
      <c r="J25" s="172">
        <f>79*N25</f>
        <v>41.145833333333336</v>
      </c>
      <c r="K25" s="181">
        <v>0</v>
      </c>
      <c r="L25" s="172">
        <f t="shared" si="0"/>
        <v>118.75</v>
      </c>
      <c r="M25" s="209">
        <v>0</v>
      </c>
      <c r="N25" s="214">
        <f>12.5/24</f>
        <v>0.5208333333333334</v>
      </c>
    </row>
    <row r="26" spans="1:14" ht="12.75">
      <c r="A26" s="171">
        <v>22</v>
      </c>
      <c r="B26" s="169" t="s">
        <v>20</v>
      </c>
      <c r="C26" s="164">
        <v>739069159</v>
      </c>
      <c r="D26" s="188" t="s">
        <v>143</v>
      </c>
      <c r="E26" s="168">
        <v>700</v>
      </c>
      <c r="F26" s="184">
        <f>843/1.2</f>
        <v>702.5</v>
      </c>
      <c r="G26" s="172">
        <f>6*N26</f>
        <v>3.125</v>
      </c>
      <c r="H26" s="172">
        <f>16*N26</f>
        <v>8.333333333333334</v>
      </c>
      <c r="I26" s="172">
        <f>77*N26</f>
        <v>40.10416666666667</v>
      </c>
      <c r="J26" s="172">
        <f>15*N26</f>
        <v>7.812500000000001</v>
      </c>
      <c r="K26" s="181">
        <v>0</v>
      </c>
      <c r="L26" s="172">
        <f t="shared" si="0"/>
        <v>59.37500000000001</v>
      </c>
      <c r="M26" s="209">
        <f>8*N26</f>
        <v>4.166666666666667</v>
      </c>
      <c r="N26" s="214">
        <f>12.5/24</f>
        <v>0.5208333333333334</v>
      </c>
    </row>
    <row r="27" spans="1:14" ht="12.75">
      <c r="A27" s="162">
        <v>23</v>
      </c>
      <c r="B27" s="169" t="s">
        <v>21</v>
      </c>
      <c r="C27" s="164">
        <v>603965141</v>
      </c>
      <c r="D27" s="170">
        <v>41449</v>
      </c>
      <c r="E27" s="168">
        <v>650</v>
      </c>
      <c r="F27" s="168">
        <f>980/1.2</f>
        <v>816.6666666666667</v>
      </c>
      <c r="G27" s="172">
        <f>7*N27</f>
        <v>5.322916666666666</v>
      </c>
      <c r="H27" s="172">
        <f>6*N27</f>
        <v>4.5625</v>
      </c>
      <c r="I27" s="172">
        <f>170*N27</f>
        <v>129.27083333333331</v>
      </c>
      <c r="J27" s="172">
        <f>14*N27</f>
        <v>10.645833333333332</v>
      </c>
      <c r="K27" s="181">
        <v>0</v>
      </c>
      <c r="L27" s="172">
        <f aca="true" t="shared" si="1" ref="L27:L47">SUM(G27:J27)</f>
        <v>149.80208333333331</v>
      </c>
      <c r="M27" s="209">
        <f>13*N27</f>
        <v>9.885416666666666</v>
      </c>
      <c r="N27" s="214">
        <f>18.25/24</f>
        <v>0.7604166666666666</v>
      </c>
    </row>
    <row r="28" spans="1:14" ht="12.75">
      <c r="A28" s="162">
        <v>24</v>
      </c>
      <c r="B28" s="169" t="s">
        <v>21</v>
      </c>
      <c r="C28" s="164">
        <v>734071042</v>
      </c>
      <c r="D28" s="193">
        <v>41591</v>
      </c>
      <c r="E28" s="165">
        <v>190</v>
      </c>
      <c r="F28" s="168">
        <f>548/1.2</f>
        <v>456.6666666666667</v>
      </c>
      <c r="G28" s="172">
        <f>7*N28</f>
        <v>3.9375</v>
      </c>
      <c r="H28" s="172">
        <f>14*N28</f>
        <v>7.875</v>
      </c>
      <c r="I28" s="172">
        <f>86*N28</f>
        <v>48.375</v>
      </c>
      <c r="J28" s="172">
        <f>4*N28</f>
        <v>2.25</v>
      </c>
      <c r="K28" s="181">
        <v>0</v>
      </c>
      <c r="L28" s="172">
        <f t="shared" si="1"/>
        <v>62.4375</v>
      </c>
      <c r="M28" s="209">
        <v>0</v>
      </c>
      <c r="N28" s="214">
        <f>13.5/24</f>
        <v>0.5625</v>
      </c>
    </row>
    <row r="29" spans="1:14" ht="12.75">
      <c r="A29" s="171">
        <v>25</v>
      </c>
      <c r="B29" s="169" t="s">
        <v>22</v>
      </c>
      <c r="C29" s="189">
        <v>603824832</v>
      </c>
      <c r="D29" s="194" t="s">
        <v>142</v>
      </c>
      <c r="E29" s="191">
        <v>1400</v>
      </c>
      <c r="F29" s="184">
        <f>2233.2/1.2</f>
        <v>1861</v>
      </c>
      <c r="G29" s="185">
        <f>5.8*N29</f>
        <v>3.0208333333333335</v>
      </c>
      <c r="H29" s="185">
        <f>86.8*N29</f>
        <v>45.208333333333336</v>
      </c>
      <c r="I29" s="185">
        <f>324.6*N29</f>
        <v>169.06250000000003</v>
      </c>
      <c r="J29" s="185">
        <f>103.4*N29</f>
        <v>53.85416666666667</v>
      </c>
      <c r="K29" s="185">
        <f>200*N29</f>
        <v>104.16666666666667</v>
      </c>
      <c r="L29" s="172">
        <f t="shared" si="1"/>
        <v>271.14583333333337</v>
      </c>
      <c r="M29" s="210">
        <f>26*N29</f>
        <v>13.541666666666668</v>
      </c>
      <c r="N29" s="214">
        <f>12.5/24</f>
        <v>0.5208333333333334</v>
      </c>
    </row>
    <row r="30" spans="1:14" ht="12.75">
      <c r="A30" s="162">
        <v>26</v>
      </c>
      <c r="B30" s="169" t="s">
        <v>22</v>
      </c>
      <c r="C30" s="189">
        <v>605249271</v>
      </c>
      <c r="D30" s="188">
        <v>41290</v>
      </c>
      <c r="E30" s="198">
        <v>900</v>
      </c>
      <c r="F30" s="184">
        <f>1482.48/1.2</f>
        <v>1235.4</v>
      </c>
      <c r="G30" s="199">
        <f>N36*24</f>
        <v>23.5</v>
      </c>
      <c r="H30" s="199">
        <f>N36*58.6</f>
        <v>57.37916666666666</v>
      </c>
      <c r="I30" s="199">
        <f>N36*182.8</f>
        <v>178.99166666666667</v>
      </c>
      <c r="J30" s="199">
        <f>N36*59.8</f>
        <v>58.55416666666666</v>
      </c>
      <c r="K30" s="199">
        <v>4.4</v>
      </c>
      <c r="L30" s="199">
        <f t="shared" si="1"/>
        <v>318.425</v>
      </c>
      <c r="M30" s="211">
        <f>N36*139</f>
        <v>136.10416666666666</v>
      </c>
      <c r="N30" s="200">
        <f>23.5/24</f>
        <v>0.9791666666666666</v>
      </c>
    </row>
    <row r="31" spans="1:14" ht="12.75">
      <c r="A31" s="162">
        <v>27</v>
      </c>
      <c r="B31" s="169" t="s">
        <v>22</v>
      </c>
      <c r="C31" s="189">
        <v>734573891</v>
      </c>
      <c r="D31" s="188">
        <v>41275</v>
      </c>
      <c r="E31" s="198">
        <v>15</v>
      </c>
      <c r="F31" s="184">
        <f>312.96/1.2</f>
        <v>260.8</v>
      </c>
      <c r="G31" s="199">
        <v>0</v>
      </c>
      <c r="H31" s="199">
        <v>0</v>
      </c>
      <c r="I31" s="199">
        <v>0</v>
      </c>
      <c r="J31" s="199">
        <v>0</v>
      </c>
      <c r="K31" s="199">
        <v>0</v>
      </c>
      <c r="L31" s="199">
        <f t="shared" si="1"/>
        <v>0</v>
      </c>
      <c r="M31" s="211">
        <v>98.4</v>
      </c>
      <c r="N31" s="200"/>
    </row>
    <row r="32" spans="1:14" ht="12.75">
      <c r="A32" s="171">
        <v>28</v>
      </c>
      <c r="B32" s="169" t="s">
        <v>22</v>
      </c>
      <c r="C32" s="189">
        <v>734573892</v>
      </c>
      <c r="D32" s="188">
        <v>41275</v>
      </c>
      <c r="E32" s="198">
        <v>15</v>
      </c>
      <c r="F32" s="184">
        <f>18/1.2</f>
        <v>15</v>
      </c>
      <c r="G32" s="199">
        <v>0</v>
      </c>
      <c r="H32" s="199">
        <v>0</v>
      </c>
      <c r="I32" s="199">
        <v>0</v>
      </c>
      <c r="J32" s="199">
        <v>0</v>
      </c>
      <c r="K32" s="199">
        <v>0</v>
      </c>
      <c r="L32" s="199">
        <f t="shared" si="1"/>
        <v>0</v>
      </c>
      <c r="M32" s="211">
        <v>0</v>
      </c>
      <c r="N32" s="200"/>
    </row>
    <row r="33" spans="1:14" ht="12.75">
      <c r="A33" s="162">
        <v>29</v>
      </c>
      <c r="B33" s="169" t="s">
        <v>22</v>
      </c>
      <c r="C33" s="189">
        <v>734573893</v>
      </c>
      <c r="D33" s="188">
        <v>41275</v>
      </c>
      <c r="E33" s="198">
        <v>15</v>
      </c>
      <c r="F33" s="184">
        <f>18/1.2</f>
        <v>15</v>
      </c>
      <c r="G33" s="199">
        <v>0</v>
      </c>
      <c r="H33" s="199">
        <v>0</v>
      </c>
      <c r="I33" s="199">
        <v>0</v>
      </c>
      <c r="J33" s="199">
        <v>0</v>
      </c>
      <c r="K33" s="199">
        <v>0</v>
      </c>
      <c r="L33" s="199">
        <f t="shared" si="1"/>
        <v>0</v>
      </c>
      <c r="M33" s="211">
        <v>0</v>
      </c>
      <c r="N33" s="200"/>
    </row>
    <row r="34" spans="1:14" ht="12.75">
      <c r="A34" s="162">
        <v>30</v>
      </c>
      <c r="B34" s="169" t="s">
        <v>22</v>
      </c>
      <c r="C34" s="189">
        <v>739010960</v>
      </c>
      <c r="D34" s="188">
        <v>41290</v>
      </c>
      <c r="E34" s="198">
        <v>190</v>
      </c>
      <c r="F34" s="184">
        <f>271.68/1.2</f>
        <v>226.4</v>
      </c>
      <c r="G34" s="199">
        <v>0.6</v>
      </c>
      <c r="H34" s="199">
        <v>0</v>
      </c>
      <c r="I34" s="199">
        <v>5.8</v>
      </c>
      <c r="J34" s="199">
        <v>0</v>
      </c>
      <c r="K34" s="199">
        <f>N36*20.6</f>
        <v>20.170833333333334</v>
      </c>
      <c r="L34" s="199">
        <f t="shared" si="1"/>
        <v>6.3999999999999995</v>
      </c>
      <c r="M34" s="211">
        <v>0</v>
      </c>
      <c r="N34" s="200">
        <f aca="true" t="shared" si="2" ref="N34:N41">23.5/24</f>
        <v>0.9791666666666666</v>
      </c>
    </row>
    <row r="35" spans="1:14" ht="12.75">
      <c r="A35" s="171">
        <v>31</v>
      </c>
      <c r="B35" s="169" t="s">
        <v>22</v>
      </c>
      <c r="C35" s="189">
        <v>739010961</v>
      </c>
      <c r="D35" s="188">
        <v>41290</v>
      </c>
      <c r="E35" s="198">
        <v>300</v>
      </c>
      <c r="F35" s="184">
        <f>743.04/1.2</f>
        <v>619.2</v>
      </c>
      <c r="G35" s="199">
        <v>0</v>
      </c>
      <c r="H35" s="199">
        <f>N36*77.4</f>
        <v>75.78750000000001</v>
      </c>
      <c r="I35" s="199">
        <f>N36*38.2</f>
        <v>37.40416666666667</v>
      </c>
      <c r="J35" s="199">
        <v>6.2</v>
      </c>
      <c r="K35" s="199">
        <f>N36*16.2</f>
        <v>15.862499999999999</v>
      </c>
      <c r="L35" s="199">
        <f t="shared" si="1"/>
        <v>119.39166666666668</v>
      </c>
      <c r="M35" s="211">
        <f>N36*0.6</f>
        <v>0.5874999999999999</v>
      </c>
      <c r="N35" s="200">
        <f t="shared" si="2"/>
        <v>0.9791666666666666</v>
      </c>
    </row>
    <row r="36" spans="1:14" ht="12.75">
      <c r="A36" s="162">
        <v>32</v>
      </c>
      <c r="B36" s="169" t="s">
        <v>22</v>
      </c>
      <c r="C36" s="189">
        <v>739010962</v>
      </c>
      <c r="D36" s="188">
        <v>41290</v>
      </c>
      <c r="E36" s="198">
        <v>200</v>
      </c>
      <c r="F36" s="184">
        <f>394.56/1.2</f>
        <v>328.8</v>
      </c>
      <c r="G36" s="199">
        <v>0.2</v>
      </c>
      <c r="H36" s="199">
        <v>6.4</v>
      </c>
      <c r="I36" s="199">
        <f>N36*47</f>
        <v>46.02083333333333</v>
      </c>
      <c r="J36" s="199">
        <v>3.2</v>
      </c>
      <c r="K36" s="199">
        <v>13.8</v>
      </c>
      <c r="L36" s="199">
        <f t="shared" si="1"/>
        <v>55.82083333333333</v>
      </c>
      <c r="M36" s="211">
        <f>N36*1.8</f>
        <v>1.7625</v>
      </c>
      <c r="N36" s="200">
        <f t="shared" si="2"/>
        <v>0.9791666666666666</v>
      </c>
    </row>
    <row r="37" spans="1:14" ht="12.75">
      <c r="A37" s="162">
        <v>33</v>
      </c>
      <c r="B37" s="169" t="s">
        <v>22</v>
      </c>
      <c r="C37" s="189">
        <v>739010963</v>
      </c>
      <c r="D37" s="188">
        <v>41290</v>
      </c>
      <c r="E37" s="198">
        <v>300</v>
      </c>
      <c r="F37" s="184">
        <f>403.2/1.2</f>
        <v>336</v>
      </c>
      <c r="G37" s="199">
        <v>0</v>
      </c>
      <c r="H37" s="199">
        <v>0</v>
      </c>
      <c r="I37" s="199">
        <v>0</v>
      </c>
      <c r="J37" s="199">
        <v>0</v>
      </c>
      <c r="K37" s="199">
        <v>0</v>
      </c>
      <c r="L37" s="199">
        <f t="shared" si="1"/>
        <v>0</v>
      </c>
      <c r="M37" s="211">
        <v>0</v>
      </c>
      <c r="N37" s="200">
        <f t="shared" si="2"/>
        <v>0.9791666666666666</v>
      </c>
    </row>
    <row r="38" spans="1:14" ht="12.75">
      <c r="A38" s="171">
        <v>34</v>
      </c>
      <c r="B38" s="169" t="s">
        <v>22</v>
      </c>
      <c r="C38" s="189">
        <v>739010964</v>
      </c>
      <c r="D38" s="188">
        <v>41290</v>
      </c>
      <c r="E38" s="198">
        <v>900</v>
      </c>
      <c r="F38" s="184">
        <f>1699.92/1.2</f>
        <v>1416.6000000000001</v>
      </c>
      <c r="G38" s="199">
        <v>2.2</v>
      </c>
      <c r="H38" s="199">
        <f>N36*73.2</f>
        <v>71.675</v>
      </c>
      <c r="I38" s="199">
        <f>N36*270.6</f>
        <v>264.96250000000003</v>
      </c>
      <c r="J38" s="199">
        <v>51.8</v>
      </c>
      <c r="K38" s="199">
        <f>N36*86.2</f>
        <v>84.40416666666667</v>
      </c>
      <c r="L38" s="199">
        <f t="shared" si="1"/>
        <v>390.63750000000005</v>
      </c>
      <c r="M38" s="211">
        <f>N36*10.6</f>
        <v>10.379166666666666</v>
      </c>
      <c r="N38" s="200">
        <f t="shared" si="2"/>
        <v>0.9791666666666666</v>
      </c>
    </row>
    <row r="39" spans="1:14" ht="12.75">
      <c r="A39" s="162">
        <v>35</v>
      </c>
      <c r="B39" s="169" t="s">
        <v>22</v>
      </c>
      <c r="C39" s="189">
        <v>739010965</v>
      </c>
      <c r="D39" s="188">
        <v>41290</v>
      </c>
      <c r="E39" s="198">
        <v>300</v>
      </c>
      <c r="F39" s="184">
        <v>459.12</v>
      </c>
      <c r="G39" s="199">
        <v>1.4</v>
      </c>
      <c r="H39" s="199">
        <v>1.4</v>
      </c>
      <c r="I39" s="199">
        <f>N36*40</f>
        <v>39.166666666666664</v>
      </c>
      <c r="J39" s="199">
        <v>2.2</v>
      </c>
      <c r="K39" s="199">
        <f>N36*23.6</f>
        <v>23.108333333333334</v>
      </c>
      <c r="L39" s="199">
        <f t="shared" si="1"/>
        <v>44.166666666666664</v>
      </c>
      <c r="M39" s="211">
        <f>N36*17.2</f>
        <v>16.841666666666665</v>
      </c>
      <c r="N39" s="200">
        <f t="shared" si="2"/>
        <v>0.9791666666666666</v>
      </c>
    </row>
    <row r="40" spans="1:14" ht="12.75">
      <c r="A40" s="162">
        <v>36</v>
      </c>
      <c r="B40" s="169" t="s">
        <v>22</v>
      </c>
      <c r="C40" s="189">
        <v>739010966</v>
      </c>
      <c r="D40" s="188">
        <v>41290</v>
      </c>
      <c r="E40" s="198">
        <v>600</v>
      </c>
      <c r="F40" s="184">
        <f>763.2/1.2</f>
        <v>636.0000000000001</v>
      </c>
      <c r="G40" s="199">
        <v>0.2</v>
      </c>
      <c r="H40" s="199">
        <v>7</v>
      </c>
      <c r="I40" s="199">
        <f>N36*95.6</f>
        <v>93.60833333333332</v>
      </c>
      <c r="J40" s="199">
        <v>6.8</v>
      </c>
      <c r="K40" s="199">
        <f>N36*39</f>
        <v>38.1875</v>
      </c>
      <c r="L40" s="199">
        <f t="shared" si="1"/>
        <v>107.60833333333332</v>
      </c>
      <c r="M40" s="211">
        <v>13.8</v>
      </c>
      <c r="N40" s="200">
        <f t="shared" si="2"/>
        <v>0.9791666666666666</v>
      </c>
    </row>
    <row r="41" spans="1:14" ht="12.75">
      <c r="A41" s="171">
        <v>37</v>
      </c>
      <c r="B41" s="169" t="s">
        <v>22</v>
      </c>
      <c r="C41" s="189">
        <v>739010968</v>
      </c>
      <c r="D41" s="188">
        <v>41290</v>
      </c>
      <c r="E41" s="198">
        <v>600</v>
      </c>
      <c r="F41" s="184">
        <f>1165.68/1.2</f>
        <v>971.4000000000001</v>
      </c>
      <c r="G41" s="199">
        <v>0.2</v>
      </c>
      <c r="H41" s="199">
        <f>N36*64.2</f>
        <v>62.8625</v>
      </c>
      <c r="I41" s="199">
        <f>N36*150.6</f>
        <v>147.46249999999998</v>
      </c>
      <c r="J41" s="199">
        <v>80.2</v>
      </c>
      <c r="K41" s="199">
        <f>N36*45.8</f>
        <v>44.84583333333333</v>
      </c>
      <c r="L41" s="199">
        <f t="shared" si="1"/>
        <v>290.72499999999997</v>
      </c>
      <c r="M41" s="211">
        <f>N36*56.2</f>
        <v>55.02916666666667</v>
      </c>
      <c r="N41" s="200">
        <f t="shared" si="2"/>
        <v>0.9791666666666666</v>
      </c>
    </row>
    <row r="42" spans="1:14" ht="12.75">
      <c r="A42" s="162">
        <v>38</v>
      </c>
      <c r="B42" s="169" t="s">
        <v>22</v>
      </c>
      <c r="C42" s="189">
        <v>739070839</v>
      </c>
      <c r="D42" s="188">
        <v>41275</v>
      </c>
      <c r="E42" s="198">
        <v>15</v>
      </c>
      <c r="F42" s="184">
        <f>19.2/1.2</f>
        <v>16</v>
      </c>
      <c r="G42" s="199">
        <v>0</v>
      </c>
      <c r="H42" s="199">
        <v>0</v>
      </c>
      <c r="I42" s="199">
        <v>0</v>
      </c>
      <c r="J42" s="199">
        <v>0</v>
      </c>
      <c r="K42" s="199">
        <v>0</v>
      </c>
      <c r="L42" s="199">
        <f t="shared" si="1"/>
        <v>0</v>
      </c>
      <c r="M42" s="211">
        <v>0</v>
      </c>
      <c r="N42" s="200"/>
    </row>
    <row r="43" spans="1:14" ht="12.75">
      <c r="A43" s="162">
        <v>39</v>
      </c>
      <c r="B43" s="169" t="s">
        <v>22</v>
      </c>
      <c r="C43" s="189">
        <v>739452200</v>
      </c>
      <c r="D43" s="188">
        <v>41290</v>
      </c>
      <c r="E43" s="198">
        <v>600</v>
      </c>
      <c r="F43" s="184">
        <f>763.2/1.2</f>
        <v>636.0000000000001</v>
      </c>
      <c r="G43" s="199">
        <v>1.6</v>
      </c>
      <c r="H43" s="199">
        <v>7</v>
      </c>
      <c r="I43" s="199">
        <f>N36*64.2</f>
        <v>62.8625</v>
      </c>
      <c r="J43" s="199">
        <v>3.8</v>
      </c>
      <c r="K43" s="199">
        <f>N36*31.8</f>
        <v>31.1375</v>
      </c>
      <c r="L43" s="199">
        <f t="shared" si="1"/>
        <v>75.26249999999999</v>
      </c>
      <c r="M43" s="211">
        <v>25</v>
      </c>
      <c r="N43" s="200">
        <f aca="true" t="shared" si="3" ref="N43:N45">23.5/24</f>
        <v>0.9791666666666666</v>
      </c>
    </row>
    <row r="44" spans="1:14" ht="12.75">
      <c r="A44" s="171">
        <v>40</v>
      </c>
      <c r="B44" s="169" t="s">
        <v>22</v>
      </c>
      <c r="C44" s="189">
        <v>739452202</v>
      </c>
      <c r="D44" s="188">
        <v>41290</v>
      </c>
      <c r="E44" s="198">
        <v>200</v>
      </c>
      <c r="F44" s="184">
        <f>305.04/1.2</f>
        <v>254.20000000000002</v>
      </c>
      <c r="G44" s="199">
        <v>1</v>
      </c>
      <c r="H44" s="199">
        <v>10.4</v>
      </c>
      <c r="I44" s="199">
        <v>20.6</v>
      </c>
      <c r="J44" s="199">
        <v>1</v>
      </c>
      <c r="K44" s="199">
        <v>7.6</v>
      </c>
      <c r="L44" s="199">
        <f t="shared" si="1"/>
        <v>33</v>
      </c>
      <c r="M44" s="211">
        <v>0.4</v>
      </c>
      <c r="N44" s="200">
        <f t="shared" si="3"/>
        <v>0.9791666666666666</v>
      </c>
    </row>
    <row r="45" spans="1:14" ht="12.75">
      <c r="A45" s="162">
        <v>41</v>
      </c>
      <c r="B45" s="169" t="s">
        <v>22</v>
      </c>
      <c r="C45" s="189">
        <v>739452203</v>
      </c>
      <c r="D45" s="188">
        <v>41290</v>
      </c>
      <c r="E45" s="198">
        <v>200</v>
      </c>
      <c r="F45" s="184">
        <f>322.08/1.2</f>
        <v>268.4</v>
      </c>
      <c r="G45" s="199">
        <v>0.4</v>
      </c>
      <c r="H45" s="199">
        <v>2</v>
      </c>
      <c r="I45" s="199">
        <f>N36*35.8</f>
        <v>35.05416666666666</v>
      </c>
      <c r="J45" s="199">
        <v>0.6</v>
      </c>
      <c r="K45" s="199">
        <v>0</v>
      </c>
      <c r="L45" s="199">
        <f t="shared" si="1"/>
        <v>38.05416666666666</v>
      </c>
      <c r="M45" s="211">
        <f>N36*59.2</f>
        <v>57.96666666666667</v>
      </c>
      <c r="N45" s="200">
        <f t="shared" si="3"/>
        <v>0.9791666666666666</v>
      </c>
    </row>
    <row r="46" spans="1:14" ht="12.75">
      <c r="A46" s="162">
        <v>42</v>
      </c>
      <c r="B46" s="169" t="s">
        <v>22</v>
      </c>
      <c r="C46" s="189">
        <v>739452204</v>
      </c>
      <c r="D46" s="188">
        <v>41275</v>
      </c>
      <c r="E46" s="191">
        <v>15</v>
      </c>
      <c r="F46" s="184">
        <f>86.64/1.2</f>
        <v>72.2</v>
      </c>
      <c r="G46" s="185">
        <v>0</v>
      </c>
      <c r="H46" s="185">
        <v>0</v>
      </c>
      <c r="I46" s="185">
        <v>0</v>
      </c>
      <c r="J46" s="185">
        <v>0</v>
      </c>
      <c r="K46" s="185">
        <v>0</v>
      </c>
      <c r="L46" s="172">
        <f t="shared" si="1"/>
        <v>0</v>
      </c>
      <c r="M46" s="210">
        <v>22.6</v>
      </c>
      <c r="N46" s="214"/>
    </row>
    <row r="47" spans="1:14" ht="13.5" thickBot="1">
      <c r="A47" s="171">
        <v>43</v>
      </c>
      <c r="B47" s="173" t="s">
        <v>22</v>
      </c>
      <c r="C47" s="190">
        <v>739452205</v>
      </c>
      <c r="D47" s="195">
        <v>41275</v>
      </c>
      <c r="E47" s="192">
        <v>15</v>
      </c>
      <c r="F47" s="186">
        <f>135.6/1.2</f>
        <v>113</v>
      </c>
      <c r="G47" s="187">
        <v>0</v>
      </c>
      <c r="H47" s="187">
        <v>0</v>
      </c>
      <c r="I47" s="187">
        <v>0</v>
      </c>
      <c r="J47" s="187">
        <v>0</v>
      </c>
      <c r="K47" s="187">
        <v>0</v>
      </c>
      <c r="L47" s="174">
        <f t="shared" si="1"/>
        <v>0</v>
      </c>
      <c r="M47" s="212">
        <v>38.8</v>
      </c>
      <c r="N47" s="215"/>
    </row>
    <row r="48" spans="1:14" ht="13.5" thickBot="1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</row>
    <row r="49" spans="1:14" ht="27.75" customHeight="1" thickBot="1">
      <c r="A49" s="161"/>
      <c r="B49" s="229" t="s">
        <v>153</v>
      </c>
      <c r="C49" s="229"/>
      <c r="D49" s="230"/>
      <c r="E49" s="239" t="s">
        <v>152</v>
      </c>
      <c r="F49" s="240"/>
      <c r="G49" s="225" t="s">
        <v>151</v>
      </c>
      <c r="H49" s="226"/>
      <c r="I49" s="226"/>
      <c r="J49" s="226"/>
      <c r="K49" s="226"/>
      <c r="L49" s="227"/>
      <c r="M49" s="202" t="s">
        <v>154</v>
      </c>
      <c r="N49" s="161"/>
    </row>
    <row r="50" spans="1:14" ht="69" customHeight="1" thickBot="1">
      <c r="A50" s="161"/>
      <c r="B50" s="241" t="s">
        <v>109</v>
      </c>
      <c r="C50" s="242"/>
      <c r="D50" s="3" t="s">
        <v>111</v>
      </c>
      <c r="E50" s="3" t="s">
        <v>101</v>
      </c>
      <c r="F50" s="5" t="s">
        <v>105</v>
      </c>
      <c r="G50" s="3" t="s">
        <v>8</v>
      </c>
      <c r="H50" s="3" t="s">
        <v>1</v>
      </c>
      <c r="I50" s="3" t="s">
        <v>3</v>
      </c>
      <c r="J50" s="3" t="s">
        <v>4</v>
      </c>
      <c r="K50" s="3" t="s">
        <v>117</v>
      </c>
      <c r="L50" s="3" t="s">
        <v>103</v>
      </c>
      <c r="M50" s="3" t="s">
        <v>18</v>
      </c>
      <c r="N50" s="161"/>
    </row>
    <row r="51" spans="1:14" ht="12.75">
      <c r="A51" s="161"/>
      <c r="B51" s="233" t="s">
        <v>19</v>
      </c>
      <c r="C51" s="234"/>
      <c r="D51" s="175">
        <f>COUNT(A5:A24)</f>
        <v>20</v>
      </c>
      <c r="E51" s="196">
        <f aca="true" t="shared" si="4" ref="E51:M51">SUM(E5:E24)</f>
        <v>7060</v>
      </c>
      <c r="F51" s="196">
        <f t="shared" si="4"/>
        <v>10308</v>
      </c>
      <c r="G51" s="176">
        <f t="shared" si="4"/>
        <v>76</v>
      </c>
      <c r="H51" s="176">
        <f t="shared" si="4"/>
        <v>232</v>
      </c>
      <c r="I51" s="176">
        <f t="shared" si="4"/>
        <v>3087</v>
      </c>
      <c r="J51" s="176">
        <f t="shared" si="4"/>
        <v>148</v>
      </c>
      <c r="K51" s="176">
        <f t="shared" si="4"/>
        <v>0</v>
      </c>
      <c r="L51" s="176">
        <f t="shared" si="4"/>
        <v>3543</v>
      </c>
      <c r="M51" s="176">
        <f t="shared" si="4"/>
        <v>427</v>
      </c>
      <c r="N51" s="161"/>
    </row>
    <row r="52" spans="1:14" ht="12.75">
      <c r="A52" s="161"/>
      <c r="B52" s="235" t="s">
        <v>108</v>
      </c>
      <c r="C52" s="236"/>
      <c r="D52" s="177">
        <f>COUNT(A25:A26)</f>
        <v>2</v>
      </c>
      <c r="E52" s="185">
        <f>SUM(E25,E26)</f>
        <v>1150</v>
      </c>
      <c r="F52" s="185">
        <f aca="true" t="shared" si="5" ref="F52:M52">SUM(F25,F26)</f>
        <v>1249.1666666666667</v>
      </c>
      <c r="G52" s="197">
        <f t="shared" si="5"/>
        <v>6.25</v>
      </c>
      <c r="H52" s="183">
        <f t="shared" si="5"/>
        <v>18.229166666666668</v>
      </c>
      <c r="I52" s="183">
        <f t="shared" si="5"/>
        <v>104.68750000000001</v>
      </c>
      <c r="J52" s="183">
        <f t="shared" si="5"/>
        <v>48.958333333333336</v>
      </c>
      <c r="K52" s="183">
        <f aca="true" t="shared" si="6" ref="K52">SUM(K25,K26)</f>
        <v>0</v>
      </c>
      <c r="L52" s="183">
        <f t="shared" si="5"/>
        <v>178.125</v>
      </c>
      <c r="M52" s="183">
        <f t="shared" si="5"/>
        <v>4.166666666666667</v>
      </c>
      <c r="N52" s="161"/>
    </row>
    <row r="53" spans="1:14" ht="12.75">
      <c r="A53" s="161"/>
      <c r="B53" s="235" t="s">
        <v>21</v>
      </c>
      <c r="C53" s="236"/>
      <c r="D53" s="177">
        <f>COUNT(A27:A28)</f>
        <v>2</v>
      </c>
      <c r="E53" s="185">
        <f>SUM(E27,E28)</f>
        <v>840</v>
      </c>
      <c r="F53" s="185">
        <f aca="true" t="shared" si="7" ref="F53:M53">SUM(F27,F28)</f>
        <v>1273.3333333333335</v>
      </c>
      <c r="G53" s="183">
        <f t="shared" si="7"/>
        <v>9.260416666666666</v>
      </c>
      <c r="H53" s="183">
        <f t="shared" si="7"/>
        <v>12.4375</v>
      </c>
      <c r="I53" s="183">
        <f t="shared" si="7"/>
        <v>177.64583333333331</v>
      </c>
      <c r="J53" s="183">
        <f t="shared" si="7"/>
        <v>12.895833333333332</v>
      </c>
      <c r="K53" s="183">
        <f aca="true" t="shared" si="8" ref="K53">SUM(K27,K28)</f>
        <v>0</v>
      </c>
      <c r="L53" s="183">
        <f t="shared" si="7"/>
        <v>212.23958333333331</v>
      </c>
      <c r="M53" s="183">
        <f t="shared" si="7"/>
        <v>9.885416666666666</v>
      </c>
      <c r="N53" s="161"/>
    </row>
    <row r="54" spans="1:14" ht="12.75">
      <c r="A54" s="161"/>
      <c r="B54" s="235" t="s">
        <v>107</v>
      </c>
      <c r="C54" s="236"/>
      <c r="D54" s="177">
        <f>COUNT(A29:A47)</f>
        <v>19</v>
      </c>
      <c r="E54" s="185">
        <f>SUM(E29:E47)</f>
        <v>6780</v>
      </c>
      <c r="F54" s="185">
        <f aca="true" t="shared" si="9" ref="F54:M54">SUM(F29:F47)</f>
        <v>9740.520000000002</v>
      </c>
      <c r="G54" s="183">
        <f t="shared" si="9"/>
        <v>34.320833333333326</v>
      </c>
      <c r="H54" s="183">
        <f t="shared" si="9"/>
        <v>347.11249999999995</v>
      </c>
      <c r="I54" s="183">
        <f t="shared" si="9"/>
        <v>1100.9958333333332</v>
      </c>
      <c r="J54" s="183">
        <f t="shared" si="9"/>
        <v>268.20833333333337</v>
      </c>
      <c r="K54" s="183">
        <f aca="true" t="shared" si="10" ref="K54">SUM(K29:K47)</f>
        <v>387.68333333333334</v>
      </c>
      <c r="L54" s="183">
        <f t="shared" si="9"/>
        <v>1750.6375</v>
      </c>
      <c r="M54" s="183">
        <f t="shared" si="9"/>
        <v>491.21250000000003</v>
      </c>
      <c r="N54" s="161"/>
    </row>
    <row r="55" spans="1:14" ht="13.5" thickBot="1">
      <c r="A55" s="161"/>
      <c r="B55" s="237" t="s">
        <v>106</v>
      </c>
      <c r="C55" s="238"/>
      <c r="D55" s="178">
        <f>SUM(D51:D54)</f>
        <v>43</v>
      </c>
      <c r="E55" s="179">
        <f>SUM(E5:E47)</f>
        <v>15830</v>
      </c>
      <c r="F55" s="179">
        <f aca="true" t="shared" si="11" ref="F55:M55">SUM(F5:F47)</f>
        <v>22571.02</v>
      </c>
      <c r="G55" s="180">
        <f t="shared" si="11"/>
        <v>125.83125000000001</v>
      </c>
      <c r="H55" s="180">
        <f t="shared" si="11"/>
        <v>609.7791666666666</v>
      </c>
      <c r="I55" s="180">
        <f t="shared" si="11"/>
        <v>4470.329166666668</v>
      </c>
      <c r="J55" s="180">
        <f t="shared" si="11"/>
        <v>478.06250000000006</v>
      </c>
      <c r="K55" s="180">
        <f t="shared" si="11"/>
        <v>387.68333333333334</v>
      </c>
      <c r="L55" s="180">
        <f t="shared" si="11"/>
        <v>5684.002083333334</v>
      </c>
      <c r="M55" s="180">
        <f t="shared" si="11"/>
        <v>932.2645833333335</v>
      </c>
      <c r="N55" s="161"/>
    </row>
    <row r="56" spans="1:14" ht="12.75">
      <c r="A56" s="161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</row>
    <row r="57" spans="1:2" ht="12.75">
      <c r="A57" s="6" t="s">
        <v>134</v>
      </c>
      <c r="B57" s="161" t="s">
        <v>155</v>
      </c>
    </row>
  </sheetData>
  <mergeCells count="13">
    <mergeCell ref="B52:C52"/>
    <mergeCell ref="B53:C53"/>
    <mergeCell ref="B54:C54"/>
    <mergeCell ref="B55:C55"/>
    <mergeCell ref="E49:F49"/>
    <mergeCell ref="B49:D49"/>
    <mergeCell ref="B50:C50"/>
    <mergeCell ref="E3:F3"/>
    <mergeCell ref="G3:L3"/>
    <mergeCell ref="A3:D3"/>
    <mergeCell ref="A1:M1"/>
    <mergeCell ref="B51:C51"/>
    <mergeCell ref="G49:L4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workbookViewId="0" topLeftCell="A1">
      <selection activeCell="A1" sqref="A1:O1"/>
    </sheetView>
  </sheetViews>
  <sheetFormatPr defaultColWidth="9.00390625" defaultRowHeight="12.75"/>
  <cols>
    <col min="2" max="2" width="11.125" style="0" bestFit="1" customWidth="1"/>
  </cols>
  <sheetData>
    <row r="1" spans="1:15" ht="19.5">
      <c r="A1" s="231" t="s">
        <v>138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</row>
    <row r="3" ht="12.75">
      <c r="S3" t="s">
        <v>23</v>
      </c>
    </row>
    <row r="4" spans="1:23" ht="12.75">
      <c r="A4" t="s">
        <v>24</v>
      </c>
      <c r="B4" t="s">
        <v>25</v>
      </c>
      <c r="C4" t="s">
        <v>26</v>
      </c>
      <c r="D4" t="s">
        <v>27</v>
      </c>
      <c r="E4" t="s">
        <v>28</v>
      </c>
      <c r="F4" t="s">
        <v>29</v>
      </c>
      <c r="G4" t="s">
        <v>30</v>
      </c>
      <c r="H4" t="s">
        <v>31</v>
      </c>
      <c r="J4" t="s">
        <v>32</v>
      </c>
      <c r="N4" t="s">
        <v>33</v>
      </c>
      <c r="Q4" t="s">
        <v>34</v>
      </c>
      <c r="S4" t="s">
        <v>35</v>
      </c>
      <c r="T4" t="s">
        <v>36</v>
      </c>
      <c r="U4" t="s">
        <v>37</v>
      </c>
      <c r="V4" t="s">
        <v>38</v>
      </c>
      <c r="W4" t="s">
        <v>33</v>
      </c>
    </row>
    <row r="5" spans="6:15" ht="12.75">
      <c r="F5" t="s">
        <v>39</v>
      </c>
      <c r="H5" t="s">
        <v>40</v>
      </c>
      <c r="I5" t="s">
        <v>41</v>
      </c>
      <c r="J5" t="s">
        <v>42</v>
      </c>
      <c r="K5" t="s">
        <v>36</v>
      </c>
      <c r="L5" t="s">
        <v>43</v>
      </c>
      <c r="M5" t="s">
        <v>44</v>
      </c>
      <c r="O5" t="s">
        <v>45</v>
      </c>
    </row>
    <row r="6" spans="1:23" ht="12.75">
      <c r="A6" t="s">
        <v>46</v>
      </c>
      <c r="B6">
        <v>603215261</v>
      </c>
      <c r="C6" t="s">
        <v>47</v>
      </c>
      <c r="D6" t="s">
        <v>48</v>
      </c>
      <c r="E6">
        <v>900</v>
      </c>
      <c r="F6">
        <v>7216.45</v>
      </c>
      <c r="G6">
        <v>1576</v>
      </c>
      <c r="H6">
        <v>1444</v>
      </c>
      <c r="I6">
        <v>316</v>
      </c>
      <c r="J6">
        <v>295</v>
      </c>
      <c r="K6">
        <v>13</v>
      </c>
      <c r="L6">
        <v>5</v>
      </c>
      <c r="M6">
        <v>3</v>
      </c>
      <c r="N6">
        <v>262</v>
      </c>
      <c r="O6">
        <v>4.57</v>
      </c>
      <c r="Q6" t="s">
        <v>49</v>
      </c>
      <c r="S6">
        <v>399</v>
      </c>
      <c r="T6">
        <v>18</v>
      </c>
      <c r="U6">
        <v>7</v>
      </c>
      <c r="V6">
        <v>3</v>
      </c>
      <c r="W6">
        <v>262</v>
      </c>
    </row>
    <row r="7" spans="1:23" ht="12.75">
      <c r="A7" t="s">
        <v>50</v>
      </c>
      <c r="B7" s="1">
        <v>605249274</v>
      </c>
      <c r="C7" t="s">
        <v>51</v>
      </c>
      <c r="D7" t="s">
        <v>52</v>
      </c>
      <c r="E7">
        <v>450</v>
      </c>
      <c r="F7">
        <v>1525.01</v>
      </c>
      <c r="G7">
        <v>365</v>
      </c>
      <c r="H7">
        <v>306</v>
      </c>
      <c r="I7">
        <v>73</v>
      </c>
      <c r="J7">
        <v>58</v>
      </c>
      <c r="K7">
        <v>14</v>
      </c>
      <c r="L7">
        <v>1</v>
      </c>
      <c r="M7">
        <v>0</v>
      </c>
      <c r="N7">
        <v>34</v>
      </c>
      <c r="O7">
        <v>4.19</v>
      </c>
      <c r="Q7" t="s">
        <v>49</v>
      </c>
      <c r="S7">
        <v>59</v>
      </c>
      <c r="T7">
        <v>14</v>
      </c>
      <c r="U7">
        <v>1</v>
      </c>
      <c r="V7">
        <v>0</v>
      </c>
      <c r="W7">
        <v>34</v>
      </c>
    </row>
    <row r="8" spans="1:23" ht="12.75">
      <c r="A8" t="s">
        <v>53</v>
      </c>
      <c r="B8" s="1">
        <v>739031357</v>
      </c>
      <c r="C8" t="s">
        <v>54</v>
      </c>
      <c r="D8" t="s">
        <v>48</v>
      </c>
      <c r="E8">
        <v>190</v>
      </c>
      <c r="F8">
        <v>4065.6</v>
      </c>
      <c r="G8">
        <v>1090</v>
      </c>
      <c r="H8">
        <v>814</v>
      </c>
      <c r="I8">
        <v>218</v>
      </c>
      <c r="J8">
        <v>183</v>
      </c>
      <c r="K8">
        <v>25</v>
      </c>
      <c r="L8">
        <v>5</v>
      </c>
      <c r="M8">
        <v>5</v>
      </c>
      <c r="N8">
        <v>22</v>
      </c>
      <c r="O8">
        <v>3.73</v>
      </c>
      <c r="Q8" t="s">
        <v>49</v>
      </c>
      <c r="S8">
        <v>194</v>
      </c>
      <c r="T8">
        <v>26</v>
      </c>
      <c r="U8">
        <v>5</v>
      </c>
      <c r="V8">
        <v>6</v>
      </c>
      <c r="W8">
        <v>22</v>
      </c>
    </row>
    <row r="9" spans="1:23" ht="12.75">
      <c r="A9" t="s">
        <v>55</v>
      </c>
      <c r="B9" s="1">
        <v>605938920</v>
      </c>
      <c r="C9" t="s">
        <v>56</v>
      </c>
      <c r="D9" t="s">
        <v>57</v>
      </c>
      <c r="E9">
        <v>1600</v>
      </c>
      <c r="F9">
        <v>8436.7</v>
      </c>
      <c r="G9">
        <v>8550</v>
      </c>
      <c r="H9">
        <v>1688</v>
      </c>
      <c r="I9">
        <v>1600</v>
      </c>
      <c r="J9">
        <v>1600</v>
      </c>
      <c r="K9">
        <v>0</v>
      </c>
      <c r="L9">
        <v>0</v>
      </c>
      <c r="M9">
        <v>0</v>
      </c>
      <c r="N9">
        <v>0</v>
      </c>
      <c r="O9">
        <v>1.06</v>
      </c>
      <c r="Q9" s="2">
        <v>41321</v>
      </c>
      <c r="S9">
        <v>1600</v>
      </c>
      <c r="T9">
        <v>0</v>
      </c>
      <c r="U9">
        <v>0</v>
      </c>
      <c r="V9">
        <v>0</v>
      </c>
      <c r="W9">
        <v>0</v>
      </c>
    </row>
    <row r="10" spans="1:23" ht="12.75">
      <c r="A10" t="s">
        <v>58</v>
      </c>
      <c r="B10" s="1">
        <v>739337305</v>
      </c>
      <c r="C10" t="s">
        <v>59</v>
      </c>
      <c r="D10" t="s">
        <v>60</v>
      </c>
      <c r="E10">
        <v>450</v>
      </c>
      <c r="F10">
        <v>3557.32</v>
      </c>
      <c r="G10">
        <v>891</v>
      </c>
      <c r="H10">
        <v>712</v>
      </c>
      <c r="I10">
        <v>179</v>
      </c>
      <c r="J10">
        <v>164</v>
      </c>
      <c r="K10">
        <v>4</v>
      </c>
      <c r="L10">
        <v>4</v>
      </c>
      <c r="M10">
        <v>7</v>
      </c>
      <c r="N10">
        <v>10</v>
      </c>
      <c r="O10">
        <v>3.98</v>
      </c>
      <c r="Q10" t="s">
        <v>49</v>
      </c>
      <c r="S10">
        <v>157</v>
      </c>
      <c r="T10">
        <v>4</v>
      </c>
      <c r="U10">
        <v>4</v>
      </c>
      <c r="V10">
        <v>6</v>
      </c>
      <c r="W10">
        <v>10</v>
      </c>
    </row>
    <row r="11" spans="1:23" ht="12.75">
      <c r="A11" t="s">
        <v>61</v>
      </c>
      <c r="B11" s="1">
        <v>733530653</v>
      </c>
      <c r="C11" t="s">
        <v>62</v>
      </c>
      <c r="D11" t="s">
        <v>52</v>
      </c>
      <c r="E11">
        <v>190</v>
      </c>
      <c r="F11">
        <v>2243.42</v>
      </c>
      <c r="G11">
        <v>410</v>
      </c>
      <c r="H11">
        <v>449</v>
      </c>
      <c r="I11">
        <v>82</v>
      </c>
      <c r="J11">
        <v>64</v>
      </c>
      <c r="K11">
        <v>7</v>
      </c>
      <c r="L11">
        <v>10</v>
      </c>
      <c r="M11">
        <v>1</v>
      </c>
      <c r="N11">
        <v>8</v>
      </c>
      <c r="O11">
        <v>5.48</v>
      </c>
      <c r="Q11" t="s">
        <v>49</v>
      </c>
      <c r="S11">
        <v>56</v>
      </c>
      <c r="T11">
        <v>6</v>
      </c>
      <c r="U11">
        <v>9</v>
      </c>
      <c r="V11">
        <v>1</v>
      </c>
      <c r="W11">
        <v>8</v>
      </c>
    </row>
    <row r="12" spans="1:23" ht="12.75">
      <c r="A12" t="s">
        <v>63</v>
      </c>
      <c r="B12" s="1">
        <v>733530654</v>
      </c>
      <c r="C12" t="s">
        <v>64</v>
      </c>
      <c r="D12" t="s">
        <v>52</v>
      </c>
      <c r="E12">
        <v>190</v>
      </c>
      <c r="F12">
        <v>1367.23</v>
      </c>
      <c r="G12">
        <v>244</v>
      </c>
      <c r="H12">
        <v>274</v>
      </c>
      <c r="I12">
        <v>49</v>
      </c>
      <c r="J12">
        <v>45</v>
      </c>
      <c r="K12">
        <v>1</v>
      </c>
      <c r="L12">
        <v>3</v>
      </c>
      <c r="M12">
        <v>0</v>
      </c>
      <c r="N12">
        <v>1</v>
      </c>
      <c r="O12">
        <v>5.59</v>
      </c>
      <c r="Q12" t="s">
        <v>49</v>
      </c>
      <c r="S12">
        <v>71</v>
      </c>
      <c r="T12">
        <v>1</v>
      </c>
      <c r="U12">
        <v>4</v>
      </c>
      <c r="V12">
        <v>1</v>
      </c>
      <c r="W12">
        <v>1</v>
      </c>
    </row>
    <row r="13" spans="1:23" ht="12.75">
      <c r="A13" t="s">
        <v>65</v>
      </c>
      <c r="B13">
        <v>603491393</v>
      </c>
      <c r="C13" t="s">
        <v>66</v>
      </c>
      <c r="D13" t="s">
        <v>67</v>
      </c>
      <c r="E13">
        <v>900</v>
      </c>
      <c r="F13">
        <v>6248.79</v>
      </c>
      <c r="G13">
        <v>1803</v>
      </c>
      <c r="H13">
        <v>1250</v>
      </c>
      <c r="I13">
        <v>361</v>
      </c>
      <c r="J13">
        <v>260</v>
      </c>
      <c r="K13">
        <v>56</v>
      </c>
      <c r="L13">
        <v>23</v>
      </c>
      <c r="M13">
        <v>22</v>
      </c>
      <c r="N13">
        <v>6</v>
      </c>
      <c r="O13">
        <v>3.46</v>
      </c>
      <c r="Q13" t="s">
        <v>49</v>
      </c>
      <c r="S13">
        <v>242</v>
      </c>
      <c r="T13">
        <v>52</v>
      </c>
      <c r="U13">
        <v>21</v>
      </c>
      <c r="V13">
        <v>21</v>
      </c>
      <c r="W13">
        <v>6</v>
      </c>
    </row>
    <row r="14" spans="1:23" ht="12.75">
      <c r="A14" t="s">
        <v>68</v>
      </c>
      <c r="B14">
        <v>603277368</v>
      </c>
      <c r="C14" t="s">
        <v>69</v>
      </c>
      <c r="D14" t="s">
        <v>70</v>
      </c>
      <c r="E14">
        <v>150</v>
      </c>
      <c r="F14">
        <v>1256.65</v>
      </c>
      <c r="G14">
        <v>128</v>
      </c>
      <c r="H14">
        <v>252</v>
      </c>
      <c r="I14">
        <v>26</v>
      </c>
      <c r="J14">
        <v>13</v>
      </c>
      <c r="K14">
        <v>9</v>
      </c>
      <c r="L14">
        <v>2</v>
      </c>
      <c r="M14">
        <v>2</v>
      </c>
      <c r="N14">
        <v>4</v>
      </c>
      <c r="O14">
        <v>9.69</v>
      </c>
      <c r="Q14" t="s">
        <v>49</v>
      </c>
      <c r="S14">
        <v>17</v>
      </c>
      <c r="T14">
        <v>12</v>
      </c>
      <c r="U14">
        <v>3</v>
      </c>
      <c r="V14">
        <v>1</v>
      </c>
      <c r="W14">
        <v>4</v>
      </c>
    </row>
    <row r="15" spans="1:23" ht="12.75">
      <c r="A15" t="s">
        <v>71</v>
      </c>
      <c r="B15" s="1">
        <v>605249273</v>
      </c>
      <c r="C15" t="s">
        <v>72</v>
      </c>
      <c r="D15" t="s">
        <v>73</v>
      </c>
      <c r="E15">
        <v>450</v>
      </c>
      <c r="F15">
        <v>2711</v>
      </c>
      <c r="G15">
        <v>614</v>
      </c>
      <c r="H15">
        <v>543</v>
      </c>
      <c r="I15">
        <v>123</v>
      </c>
      <c r="J15">
        <v>95</v>
      </c>
      <c r="K15">
        <v>13</v>
      </c>
      <c r="L15">
        <v>13</v>
      </c>
      <c r="M15">
        <v>2</v>
      </c>
      <c r="N15">
        <v>4</v>
      </c>
      <c r="O15">
        <v>4.41</v>
      </c>
      <c r="Q15" t="s">
        <v>49</v>
      </c>
      <c r="S15">
        <v>79</v>
      </c>
      <c r="T15">
        <v>11</v>
      </c>
      <c r="U15">
        <v>11</v>
      </c>
      <c r="V15">
        <v>1</v>
      </c>
      <c r="W15">
        <v>4</v>
      </c>
    </row>
    <row r="16" spans="1:23" ht="12.75">
      <c r="A16" t="s">
        <v>74</v>
      </c>
      <c r="B16" s="1">
        <v>605249272</v>
      </c>
      <c r="C16" t="s">
        <v>75</v>
      </c>
      <c r="D16" t="s">
        <v>70</v>
      </c>
      <c r="E16">
        <v>150</v>
      </c>
      <c r="F16">
        <v>1583.51</v>
      </c>
      <c r="G16">
        <v>683</v>
      </c>
      <c r="H16">
        <v>317</v>
      </c>
      <c r="I16">
        <v>137</v>
      </c>
      <c r="J16">
        <v>122</v>
      </c>
      <c r="K16">
        <v>9</v>
      </c>
      <c r="L16">
        <v>1</v>
      </c>
      <c r="M16">
        <v>5</v>
      </c>
      <c r="N16">
        <v>8</v>
      </c>
      <c r="O16">
        <v>2.31</v>
      </c>
      <c r="Q16" t="s">
        <v>49</v>
      </c>
      <c r="S16">
        <v>122</v>
      </c>
      <c r="T16">
        <v>9</v>
      </c>
      <c r="U16">
        <v>1</v>
      </c>
      <c r="V16">
        <v>5</v>
      </c>
      <c r="W16">
        <v>8</v>
      </c>
    </row>
    <row r="17" spans="1:17" ht="12.75">
      <c r="A17" t="s">
        <v>76</v>
      </c>
      <c r="B17" s="1">
        <v>734256966</v>
      </c>
      <c r="C17" t="s">
        <v>77</v>
      </c>
      <c r="E17">
        <v>200</v>
      </c>
      <c r="F17">
        <v>0</v>
      </c>
      <c r="G17">
        <v>0</v>
      </c>
      <c r="H17">
        <v>200</v>
      </c>
      <c r="I17">
        <v>50</v>
      </c>
      <c r="J17">
        <v>20</v>
      </c>
      <c r="K17">
        <v>15</v>
      </c>
      <c r="L17">
        <v>10</v>
      </c>
      <c r="M17">
        <v>5</v>
      </c>
      <c r="N17">
        <v>0</v>
      </c>
      <c r="O17">
        <v>4</v>
      </c>
      <c r="Q17" t="s">
        <v>49</v>
      </c>
    </row>
    <row r="18" spans="1:23" ht="12.75">
      <c r="A18" t="s">
        <v>78</v>
      </c>
      <c r="B18" s="1">
        <v>733530655</v>
      </c>
      <c r="C18" t="s">
        <v>79</v>
      </c>
      <c r="D18" t="s">
        <v>52</v>
      </c>
      <c r="E18">
        <v>190</v>
      </c>
      <c r="F18">
        <v>1282.1</v>
      </c>
      <c r="G18">
        <v>233</v>
      </c>
      <c r="H18">
        <v>257</v>
      </c>
      <c r="I18">
        <v>47</v>
      </c>
      <c r="J18">
        <v>42</v>
      </c>
      <c r="K18">
        <v>4</v>
      </c>
      <c r="L18">
        <v>1</v>
      </c>
      <c r="M18">
        <v>0</v>
      </c>
      <c r="N18">
        <v>3</v>
      </c>
      <c r="O18">
        <v>5.47</v>
      </c>
      <c r="Q18" t="s">
        <v>49</v>
      </c>
      <c r="S18">
        <v>47</v>
      </c>
      <c r="T18">
        <v>4</v>
      </c>
      <c r="U18">
        <v>1</v>
      </c>
      <c r="V18">
        <v>1</v>
      </c>
      <c r="W18">
        <v>3</v>
      </c>
    </row>
    <row r="19" spans="1:23" ht="12.75">
      <c r="A19" t="s">
        <v>80</v>
      </c>
      <c r="B19" s="1">
        <v>604647608</v>
      </c>
      <c r="C19" t="s">
        <v>81</v>
      </c>
      <c r="D19" t="s">
        <v>82</v>
      </c>
      <c r="E19">
        <v>450</v>
      </c>
      <c r="F19">
        <v>4008.2</v>
      </c>
      <c r="G19">
        <v>1228</v>
      </c>
      <c r="H19">
        <v>802</v>
      </c>
      <c r="I19">
        <v>246</v>
      </c>
      <c r="J19">
        <v>182</v>
      </c>
      <c r="K19">
        <v>33</v>
      </c>
      <c r="L19">
        <v>18</v>
      </c>
      <c r="M19">
        <v>13</v>
      </c>
      <c r="N19">
        <v>18</v>
      </c>
      <c r="O19">
        <v>3.26</v>
      </c>
      <c r="Q19" t="s">
        <v>49</v>
      </c>
      <c r="S19">
        <v>164</v>
      </c>
      <c r="T19">
        <v>30</v>
      </c>
      <c r="U19">
        <v>16</v>
      </c>
      <c r="V19">
        <v>12</v>
      </c>
      <c r="W19">
        <v>18</v>
      </c>
    </row>
    <row r="20" spans="1:23" ht="12.75">
      <c r="A20" t="s">
        <v>83</v>
      </c>
      <c r="B20" s="1">
        <v>734230744</v>
      </c>
      <c r="C20" t="s">
        <v>84</v>
      </c>
      <c r="D20" t="s">
        <v>85</v>
      </c>
      <c r="E20">
        <v>200</v>
      </c>
      <c r="F20">
        <v>1000</v>
      </c>
      <c r="G20">
        <v>99</v>
      </c>
      <c r="H20">
        <v>200</v>
      </c>
      <c r="I20">
        <v>20</v>
      </c>
      <c r="J20">
        <v>14</v>
      </c>
      <c r="K20">
        <v>1</v>
      </c>
      <c r="L20">
        <v>1</v>
      </c>
      <c r="M20">
        <v>4</v>
      </c>
      <c r="N20">
        <v>19</v>
      </c>
      <c r="O20">
        <v>10</v>
      </c>
      <c r="Q20" t="s">
        <v>49</v>
      </c>
      <c r="S20">
        <v>20</v>
      </c>
      <c r="T20">
        <v>2</v>
      </c>
      <c r="U20">
        <v>2</v>
      </c>
      <c r="V20">
        <v>4</v>
      </c>
      <c r="W20">
        <v>19</v>
      </c>
    </row>
    <row r="21" spans="1:23" ht="12.75">
      <c r="A21" t="s">
        <v>86</v>
      </c>
      <c r="B21" s="1">
        <v>734230746</v>
      </c>
      <c r="C21" t="s">
        <v>87</v>
      </c>
      <c r="D21" t="s">
        <v>88</v>
      </c>
      <c r="E21">
        <v>200</v>
      </c>
      <c r="F21">
        <v>1000</v>
      </c>
      <c r="G21">
        <v>34</v>
      </c>
      <c r="H21">
        <v>200</v>
      </c>
      <c r="I21">
        <v>7</v>
      </c>
      <c r="J21">
        <v>6</v>
      </c>
      <c r="K21">
        <v>0</v>
      </c>
      <c r="L21">
        <v>0</v>
      </c>
      <c r="M21">
        <v>1</v>
      </c>
      <c r="N21">
        <v>0</v>
      </c>
      <c r="O21">
        <v>28.57</v>
      </c>
      <c r="Q21" t="s">
        <v>49</v>
      </c>
      <c r="S21">
        <v>6</v>
      </c>
      <c r="T21">
        <v>0</v>
      </c>
      <c r="U21">
        <v>0</v>
      </c>
      <c r="V21">
        <v>1</v>
      </c>
      <c r="W21">
        <v>0</v>
      </c>
    </row>
    <row r="22" spans="1:23" ht="12.75">
      <c r="A22" t="s">
        <v>89</v>
      </c>
      <c r="B22" s="1">
        <v>734230745</v>
      </c>
      <c r="C22" t="s">
        <v>90</v>
      </c>
      <c r="D22" t="s">
        <v>91</v>
      </c>
      <c r="E22">
        <v>200</v>
      </c>
      <c r="F22">
        <v>1000</v>
      </c>
      <c r="G22">
        <v>292</v>
      </c>
      <c r="H22">
        <v>200</v>
      </c>
      <c r="I22">
        <v>59</v>
      </c>
      <c r="J22">
        <v>9</v>
      </c>
      <c r="K22">
        <v>13</v>
      </c>
      <c r="L22">
        <v>36</v>
      </c>
      <c r="M22">
        <v>1</v>
      </c>
      <c r="N22">
        <v>3</v>
      </c>
      <c r="O22">
        <v>3.39</v>
      </c>
      <c r="Q22" t="s">
        <v>49</v>
      </c>
      <c r="S22">
        <v>15</v>
      </c>
      <c r="T22">
        <v>21</v>
      </c>
      <c r="U22">
        <v>58</v>
      </c>
      <c r="V22">
        <v>1</v>
      </c>
      <c r="W22">
        <v>3</v>
      </c>
    </row>
    <row r="23" spans="1:23" ht="12.75">
      <c r="A23" t="s">
        <v>92</v>
      </c>
      <c r="B23" s="1">
        <v>737463779</v>
      </c>
      <c r="C23" t="s">
        <v>93</v>
      </c>
      <c r="H23">
        <v>100</v>
      </c>
      <c r="I23">
        <v>10</v>
      </c>
      <c r="J23">
        <v>3</v>
      </c>
      <c r="K23">
        <v>3</v>
      </c>
      <c r="L23">
        <v>3</v>
      </c>
      <c r="M23">
        <v>1</v>
      </c>
      <c r="N23">
        <v>0</v>
      </c>
      <c r="O23">
        <v>10</v>
      </c>
      <c r="Q23" t="s">
        <v>99</v>
      </c>
      <c r="S23">
        <v>3</v>
      </c>
      <c r="T23">
        <v>3</v>
      </c>
      <c r="U23">
        <v>3</v>
      </c>
      <c r="V23">
        <v>1</v>
      </c>
      <c r="W23">
        <v>0</v>
      </c>
    </row>
    <row r="24" spans="1:23" ht="12.75">
      <c r="A24" t="s">
        <v>94</v>
      </c>
      <c r="B24" s="1">
        <v>736183432</v>
      </c>
      <c r="C24" t="s">
        <v>95</v>
      </c>
      <c r="H24">
        <v>100</v>
      </c>
      <c r="I24">
        <v>10</v>
      </c>
      <c r="J24">
        <v>3</v>
      </c>
      <c r="K24">
        <v>3</v>
      </c>
      <c r="L24">
        <v>3</v>
      </c>
      <c r="M24">
        <v>1</v>
      </c>
      <c r="N24">
        <v>0</v>
      </c>
      <c r="O24">
        <v>10</v>
      </c>
      <c r="Q24" t="s">
        <v>49</v>
      </c>
      <c r="S24">
        <v>3</v>
      </c>
      <c r="T24">
        <v>3</v>
      </c>
      <c r="U24">
        <v>3</v>
      </c>
      <c r="V24">
        <v>1</v>
      </c>
      <c r="W24">
        <v>0</v>
      </c>
    </row>
    <row r="25" spans="1:23" ht="12.75">
      <c r="A25" t="s">
        <v>96</v>
      </c>
      <c r="B25" s="1">
        <v>736488233</v>
      </c>
      <c r="C25" t="s">
        <v>97</v>
      </c>
      <c r="H25">
        <v>200</v>
      </c>
      <c r="I25">
        <v>30</v>
      </c>
      <c r="J25">
        <v>9</v>
      </c>
      <c r="K25">
        <v>9</v>
      </c>
      <c r="L25">
        <v>9</v>
      </c>
      <c r="M25">
        <v>3</v>
      </c>
      <c r="N25">
        <v>0</v>
      </c>
      <c r="O25">
        <v>6.67</v>
      </c>
      <c r="Q25" t="s">
        <v>100</v>
      </c>
      <c r="S25">
        <v>9</v>
      </c>
      <c r="T25">
        <v>9</v>
      </c>
      <c r="U25">
        <v>9</v>
      </c>
      <c r="V25">
        <v>3</v>
      </c>
      <c r="W25">
        <v>0</v>
      </c>
    </row>
    <row r="27" spans="2:19" ht="12.75">
      <c r="B27" t="s">
        <v>98</v>
      </c>
      <c r="H27">
        <v>10308</v>
      </c>
      <c r="I27">
        <v>3643</v>
      </c>
      <c r="J27">
        <v>3178</v>
      </c>
      <c r="K27">
        <v>223</v>
      </c>
      <c r="L27">
        <v>139</v>
      </c>
      <c r="M27">
        <v>73</v>
      </c>
      <c r="N27">
        <v>402</v>
      </c>
      <c r="R27">
        <v>12369.6</v>
      </c>
      <c r="S27">
        <v>3.395443316</v>
      </c>
    </row>
  </sheetData>
  <mergeCells count="1">
    <mergeCell ref="A1:O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6"/>
  <sheetViews>
    <sheetView workbookViewId="0" topLeftCell="A1">
      <selection activeCell="T31" sqref="T31"/>
    </sheetView>
  </sheetViews>
  <sheetFormatPr defaultColWidth="9.00390625" defaultRowHeight="12.75"/>
  <cols>
    <col min="1" max="1" width="5.875" style="0" customWidth="1"/>
    <col min="2" max="2" width="10.00390625" style="0" bestFit="1" customWidth="1"/>
    <col min="4" max="4" width="10.875" style="0" customWidth="1"/>
    <col min="11" max="11" width="12.00390625" style="0" customWidth="1"/>
    <col min="13" max="13" width="11.375" style="0" customWidth="1"/>
    <col min="18" max="19" width="10.875" style="0" customWidth="1"/>
    <col min="20" max="20" width="17.25390625" style="0" customWidth="1"/>
    <col min="22" max="22" width="11.125" style="0" customWidth="1"/>
    <col min="23" max="23" width="10.75390625" style="0" customWidth="1"/>
    <col min="257" max="257" width="5.875" style="0" customWidth="1"/>
    <col min="258" max="258" width="10.00390625" style="0" bestFit="1" customWidth="1"/>
    <col min="260" max="260" width="10.875" style="0" customWidth="1"/>
    <col min="267" max="267" width="12.00390625" style="0" customWidth="1"/>
    <col min="269" max="269" width="11.375" style="0" customWidth="1"/>
    <col min="274" max="275" width="10.875" style="0" customWidth="1"/>
    <col min="276" max="276" width="10.75390625" style="0" customWidth="1"/>
    <col min="278" max="278" width="11.125" style="0" customWidth="1"/>
    <col min="279" max="279" width="10.75390625" style="0" customWidth="1"/>
    <col min="513" max="513" width="5.875" style="0" customWidth="1"/>
    <col min="514" max="514" width="10.00390625" style="0" bestFit="1" customWidth="1"/>
    <col min="516" max="516" width="10.875" style="0" customWidth="1"/>
    <col min="523" max="523" width="12.00390625" style="0" customWidth="1"/>
    <col min="525" max="525" width="11.375" style="0" customWidth="1"/>
    <col min="530" max="531" width="10.875" style="0" customWidth="1"/>
    <col min="532" max="532" width="10.75390625" style="0" customWidth="1"/>
    <col min="534" max="534" width="11.125" style="0" customWidth="1"/>
    <col min="535" max="535" width="10.75390625" style="0" customWidth="1"/>
    <col min="769" max="769" width="5.875" style="0" customWidth="1"/>
    <col min="770" max="770" width="10.00390625" style="0" bestFit="1" customWidth="1"/>
    <col min="772" max="772" width="10.875" style="0" customWidth="1"/>
    <col min="779" max="779" width="12.00390625" style="0" customWidth="1"/>
    <col min="781" max="781" width="11.375" style="0" customWidth="1"/>
    <col min="786" max="787" width="10.875" style="0" customWidth="1"/>
    <col min="788" max="788" width="10.75390625" style="0" customWidth="1"/>
    <col min="790" max="790" width="11.125" style="0" customWidth="1"/>
    <col min="791" max="791" width="10.75390625" style="0" customWidth="1"/>
    <col min="1025" max="1025" width="5.875" style="0" customWidth="1"/>
    <col min="1026" max="1026" width="10.00390625" style="0" bestFit="1" customWidth="1"/>
    <col min="1028" max="1028" width="10.875" style="0" customWidth="1"/>
    <col min="1035" max="1035" width="12.00390625" style="0" customWidth="1"/>
    <col min="1037" max="1037" width="11.375" style="0" customWidth="1"/>
    <col min="1042" max="1043" width="10.875" style="0" customWidth="1"/>
    <col min="1044" max="1044" width="10.75390625" style="0" customWidth="1"/>
    <col min="1046" max="1046" width="11.125" style="0" customWidth="1"/>
    <col min="1047" max="1047" width="10.75390625" style="0" customWidth="1"/>
    <col min="1281" max="1281" width="5.875" style="0" customWidth="1"/>
    <col min="1282" max="1282" width="10.00390625" style="0" bestFit="1" customWidth="1"/>
    <col min="1284" max="1284" width="10.875" style="0" customWidth="1"/>
    <col min="1291" max="1291" width="12.00390625" style="0" customWidth="1"/>
    <col min="1293" max="1293" width="11.375" style="0" customWidth="1"/>
    <col min="1298" max="1299" width="10.875" style="0" customWidth="1"/>
    <col min="1300" max="1300" width="10.75390625" style="0" customWidth="1"/>
    <col min="1302" max="1302" width="11.125" style="0" customWidth="1"/>
    <col min="1303" max="1303" width="10.75390625" style="0" customWidth="1"/>
    <col min="1537" max="1537" width="5.875" style="0" customWidth="1"/>
    <col min="1538" max="1538" width="10.00390625" style="0" bestFit="1" customWidth="1"/>
    <col min="1540" max="1540" width="10.875" style="0" customWidth="1"/>
    <col min="1547" max="1547" width="12.00390625" style="0" customWidth="1"/>
    <col min="1549" max="1549" width="11.375" style="0" customWidth="1"/>
    <col min="1554" max="1555" width="10.875" style="0" customWidth="1"/>
    <col min="1556" max="1556" width="10.75390625" style="0" customWidth="1"/>
    <col min="1558" max="1558" width="11.125" style="0" customWidth="1"/>
    <col min="1559" max="1559" width="10.75390625" style="0" customWidth="1"/>
    <col min="1793" max="1793" width="5.875" style="0" customWidth="1"/>
    <col min="1794" max="1794" width="10.00390625" style="0" bestFit="1" customWidth="1"/>
    <col min="1796" max="1796" width="10.875" style="0" customWidth="1"/>
    <col min="1803" max="1803" width="12.00390625" style="0" customWidth="1"/>
    <col min="1805" max="1805" width="11.375" style="0" customWidth="1"/>
    <col min="1810" max="1811" width="10.875" style="0" customWidth="1"/>
    <col min="1812" max="1812" width="10.75390625" style="0" customWidth="1"/>
    <col min="1814" max="1814" width="11.125" style="0" customWidth="1"/>
    <col min="1815" max="1815" width="10.75390625" style="0" customWidth="1"/>
    <col min="2049" max="2049" width="5.875" style="0" customWidth="1"/>
    <col min="2050" max="2050" width="10.00390625" style="0" bestFit="1" customWidth="1"/>
    <col min="2052" max="2052" width="10.875" style="0" customWidth="1"/>
    <col min="2059" max="2059" width="12.00390625" style="0" customWidth="1"/>
    <col min="2061" max="2061" width="11.375" style="0" customWidth="1"/>
    <col min="2066" max="2067" width="10.875" style="0" customWidth="1"/>
    <col min="2068" max="2068" width="10.75390625" style="0" customWidth="1"/>
    <col min="2070" max="2070" width="11.125" style="0" customWidth="1"/>
    <col min="2071" max="2071" width="10.75390625" style="0" customWidth="1"/>
    <col min="2305" max="2305" width="5.875" style="0" customWidth="1"/>
    <col min="2306" max="2306" width="10.00390625" style="0" bestFit="1" customWidth="1"/>
    <col min="2308" max="2308" width="10.875" style="0" customWidth="1"/>
    <col min="2315" max="2315" width="12.00390625" style="0" customWidth="1"/>
    <col min="2317" max="2317" width="11.375" style="0" customWidth="1"/>
    <col min="2322" max="2323" width="10.875" style="0" customWidth="1"/>
    <col min="2324" max="2324" width="10.75390625" style="0" customWidth="1"/>
    <col min="2326" max="2326" width="11.125" style="0" customWidth="1"/>
    <col min="2327" max="2327" width="10.75390625" style="0" customWidth="1"/>
    <col min="2561" max="2561" width="5.875" style="0" customWidth="1"/>
    <col min="2562" max="2562" width="10.00390625" style="0" bestFit="1" customWidth="1"/>
    <col min="2564" max="2564" width="10.875" style="0" customWidth="1"/>
    <col min="2571" max="2571" width="12.00390625" style="0" customWidth="1"/>
    <col min="2573" max="2573" width="11.375" style="0" customWidth="1"/>
    <col min="2578" max="2579" width="10.875" style="0" customWidth="1"/>
    <col min="2580" max="2580" width="10.75390625" style="0" customWidth="1"/>
    <col min="2582" max="2582" width="11.125" style="0" customWidth="1"/>
    <col min="2583" max="2583" width="10.75390625" style="0" customWidth="1"/>
    <col min="2817" max="2817" width="5.875" style="0" customWidth="1"/>
    <col min="2818" max="2818" width="10.00390625" style="0" bestFit="1" customWidth="1"/>
    <col min="2820" max="2820" width="10.875" style="0" customWidth="1"/>
    <col min="2827" max="2827" width="12.00390625" style="0" customWidth="1"/>
    <col min="2829" max="2829" width="11.375" style="0" customWidth="1"/>
    <col min="2834" max="2835" width="10.875" style="0" customWidth="1"/>
    <col min="2836" max="2836" width="10.75390625" style="0" customWidth="1"/>
    <col min="2838" max="2838" width="11.125" style="0" customWidth="1"/>
    <col min="2839" max="2839" width="10.75390625" style="0" customWidth="1"/>
    <col min="3073" max="3073" width="5.875" style="0" customWidth="1"/>
    <col min="3074" max="3074" width="10.00390625" style="0" bestFit="1" customWidth="1"/>
    <col min="3076" max="3076" width="10.875" style="0" customWidth="1"/>
    <col min="3083" max="3083" width="12.00390625" style="0" customWidth="1"/>
    <col min="3085" max="3085" width="11.375" style="0" customWidth="1"/>
    <col min="3090" max="3091" width="10.875" style="0" customWidth="1"/>
    <col min="3092" max="3092" width="10.75390625" style="0" customWidth="1"/>
    <col min="3094" max="3094" width="11.125" style="0" customWidth="1"/>
    <col min="3095" max="3095" width="10.75390625" style="0" customWidth="1"/>
    <col min="3329" max="3329" width="5.875" style="0" customWidth="1"/>
    <col min="3330" max="3330" width="10.00390625" style="0" bestFit="1" customWidth="1"/>
    <col min="3332" max="3332" width="10.875" style="0" customWidth="1"/>
    <col min="3339" max="3339" width="12.00390625" style="0" customWidth="1"/>
    <col min="3341" max="3341" width="11.375" style="0" customWidth="1"/>
    <col min="3346" max="3347" width="10.875" style="0" customWidth="1"/>
    <col min="3348" max="3348" width="10.75390625" style="0" customWidth="1"/>
    <col min="3350" max="3350" width="11.125" style="0" customWidth="1"/>
    <col min="3351" max="3351" width="10.75390625" style="0" customWidth="1"/>
    <col min="3585" max="3585" width="5.875" style="0" customWidth="1"/>
    <col min="3586" max="3586" width="10.00390625" style="0" bestFit="1" customWidth="1"/>
    <col min="3588" max="3588" width="10.875" style="0" customWidth="1"/>
    <col min="3595" max="3595" width="12.00390625" style="0" customWidth="1"/>
    <col min="3597" max="3597" width="11.375" style="0" customWidth="1"/>
    <col min="3602" max="3603" width="10.875" style="0" customWidth="1"/>
    <col min="3604" max="3604" width="10.75390625" style="0" customWidth="1"/>
    <col min="3606" max="3606" width="11.125" style="0" customWidth="1"/>
    <col min="3607" max="3607" width="10.75390625" style="0" customWidth="1"/>
    <col min="3841" max="3841" width="5.875" style="0" customWidth="1"/>
    <col min="3842" max="3842" width="10.00390625" style="0" bestFit="1" customWidth="1"/>
    <col min="3844" max="3844" width="10.875" style="0" customWidth="1"/>
    <col min="3851" max="3851" width="12.00390625" style="0" customWidth="1"/>
    <col min="3853" max="3853" width="11.375" style="0" customWidth="1"/>
    <col min="3858" max="3859" width="10.875" style="0" customWidth="1"/>
    <col min="3860" max="3860" width="10.75390625" style="0" customWidth="1"/>
    <col min="3862" max="3862" width="11.125" style="0" customWidth="1"/>
    <col min="3863" max="3863" width="10.75390625" style="0" customWidth="1"/>
    <col min="4097" max="4097" width="5.875" style="0" customWidth="1"/>
    <col min="4098" max="4098" width="10.00390625" style="0" bestFit="1" customWidth="1"/>
    <col min="4100" max="4100" width="10.875" style="0" customWidth="1"/>
    <col min="4107" max="4107" width="12.00390625" style="0" customWidth="1"/>
    <col min="4109" max="4109" width="11.375" style="0" customWidth="1"/>
    <col min="4114" max="4115" width="10.875" style="0" customWidth="1"/>
    <col min="4116" max="4116" width="10.75390625" style="0" customWidth="1"/>
    <col min="4118" max="4118" width="11.125" style="0" customWidth="1"/>
    <col min="4119" max="4119" width="10.75390625" style="0" customWidth="1"/>
    <col min="4353" max="4353" width="5.875" style="0" customWidth="1"/>
    <col min="4354" max="4354" width="10.00390625" style="0" bestFit="1" customWidth="1"/>
    <col min="4356" max="4356" width="10.875" style="0" customWidth="1"/>
    <col min="4363" max="4363" width="12.00390625" style="0" customWidth="1"/>
    <col min="4365" max="4365" width="11.375" style="0" customWidth="1"/>
    <col min="4370" max="4371" width="10.875" style="0" customWidth="1"/>
    <col min="4372" max="4372" width="10.75390625" style="0" customWidth="1"/>
    <col min="4374" max="4374" width="11.125" style="0" customWidth="1"/>
    <col min="4375" max="4375" width="10.75390625" style="0" customWidth="1"/>
    <col min="4609" max="4609" width="5.875" style="0" customWidth="1"/>
    <col min="4610" max="4610" width="10.00390625" style="0" bestFit="1" customWidth="1"/>
    <col min="4612" max="4612" width="10.875" style="0" customWidth="1"/>
    <col min="4619" max="4619" width="12.00390625" style="0" customWidth="1"/>
    <col min="4621" max="4621" width="11.375" style="0" customWidth="1"/>
    <col min="4626" max="4627" width="10.875" style="0" customWidth="1"/>
    <col min="4628" max="4628" width="10.75390625" style="0" customWidth="1"/>
    <col min="4630" max="4630" width="11.125" style="0" customWidth="1"/>
    <col min="4631" max="4631" width="10.75390625" style="0" customWidth="1"/>
    <col min="4865" max="4865" width="5.875" style="0" customWidth="1"/>
    <col min="4866" max="4866" width="10.00390625" style="0" bestFit="1" customWidth="1"/>
    <col min="4868" max="4868" width="10.875" style="0" customWidth="1"/>
    <col min="4875" max="4875" width="12.00390625" style="0" customWidth="1"/>
    <col min="4877" max="4877" width="11.375" style="0" customWidth="1"/>
    <col min="4882" max="4883" width="10.875" style="0" customWidth="1"/>
    <col min="4884" max="4884" width="10.75390625" style="0" customWidth="1"/>
    <col min="4886" max="4886" width="11.125" style="0" customWidth="1"/>
    <col min="4887" max="4887" width="10.75390625" style="0" customWidth="1"/>
    <col min="5121" max="5121" width="5.875" style="0" customWidth="1"/>
    <col min="5122" max="5122" width="10.00390625" style="0" bestFit="1" customWidth="1"/>
    <col min="5124" max="5124" width="10.875" style="0" customWidth="1"/>
    <col min="5131" max="5131" width="12.00390625" style="0" customWidth="1"/>
    <col min="5133" max="5133" width="11.375" style="0" customWidth="1"/>
    <col min="5138" max="5139" width="10.875" style="0" customWidth="1"/>
    <col min="5140" max="5140" width="10.75390625" style="0" customWidth="1"/>
    <col min="5142" max="5142" width="11.125" style="0" customWidth="1"/>
    <col min="5143" max="5143" width="10.75390625" style="0" customWidth="1"/>
    <col min="5377" max="5377" width="5.875" style="0" customWidth="1"/>
    <col min="5378" max="5378" width="10.00390625" style="0" bestFit="1" customWidth="1"/>
    <col min="5380" max="5380" width="10.875" style="0" customWidth="1"/>
    <col min="5387" max="5387" width="12.00390625" style="0" customWidth="1"/>
    <col min="5389" max="5389" width="11.375" style="0" customWidth="1"/>
    <col min="5394" max="5395" width="10.875" style="0" customWidth="1"/>
    <col min="5396" max="5396" width="10.75390625" style="0" customWidth="1"/>
    <col min="5398" max="5398" width="11.125" style="0" customWidth="1"/>
    <col min="5399" max="5399" width="10.75390625" style="0" customWidth="1"/>
    <col min="5633" max="5633" width="5.875" style="0" customWidth="1"/>
    <col min="5634" max="5634" width="10.00390625" style="0" bestFit="1" customWidth="1"/>
    <col min="5636" max="5636" width="10.875" style="0" customWidth="1"/>
    <col min="5643" max="5643" width="12.00390625" style="0" customWidth="1"/>
    <col min="5645" max="5645" width="11.375" style="0" customWidth="1"/>
    <col min="5650" max="5651" width="10.875" style="0" customWidth="1"/>
    <col min="5652" max="5652" width="10.75390625" style="0" customWidth="1"/>
    <col min="5654" max="5654" width="11.125" style="0" customWidth="1"/>
    <col min="5655" max="5655" width="10.75390625" style="0" customWidth="1"/>
    <col min="5889" max="5889" width="5.875" style="0" customWidth="1"/>
    <col min="5890" max="5890" width="10.00390625" style="0" bestFit="1" customWidth="1"/>
    <col min="5892" max="5892" width="10.875" style="0" customWidth="1"/>
    <col min="5899" max="5899" width="12.00390625" style="0" customWidth="1"/>
    <col min="5901" max="5901" width="11.375" style="0" customWidth="1"/>
    <col min="5906" max="5907" width="10.875" style="0" customWidth="1"/>
    <col min="5908" max="5908" width="10.75390625" style="0" customWidth="1"/>
    <col min="5910" max="5910" width="11.125" style="0" customWidth="1"/>
    <col min="5911" max="5911" width="10.75390625" style="0" customWidth="1"/>
    <col min="6145" max="6145" width="5.875" style="0" customWidth="1"/>
    <col min="6146" max="6146" width="10.00390625" style="0" bestFit="1" customWidth="1"/>
    <col min="6148" max="6148" width="10.875" style="0" customWidth="1"/>
    <col min="6155" max="6155" width="12.00390625" style="0" customWidth="1"/>
    <col min="6157" max="6157" width="11.375" style="0" customWidth="1"/>
    <col min="6162" max="6163" width="10.875" style="0" customWidth="1"/>
    <col min="6164" max="6164" width="10.75390625" style="0" customWidth="1"/>
    <col min="6166" max="6166" width="11.125" style="0" customWidth="1"/>
    <col min="6167" max="6167" width="10.75390625" style="0" customWidth="1"/>
    <col min="6401" max="6401" width="5.875" style="0" customWidth="1"/>
    <col min="6402" max="6402" width="10.00390625" style="0" bestFit="1" customWidth="1"/>
    <col min="6404" max="6404" width="10.875" style="0" customWidth="1"/>
    <col min="6411" max="6411" width="12.00390625" style="0" customWidth="1"/>
    <col min="6413" max="6413" width="11.375" style="0" customWidth="1"/>
    <col min="6418" max="6419" width="10.875" style="0" customWidth="1"/>
    <col min="6420" max="6420" width="10.75390625" style="0" customWidth="1"/>
    <col min="6422" max="6422" width="11.125" style="0" customWidth="1"/>
    <col min="6423" max="6423" width="10.75390625" style="0" customWidth="1"/>
    <col min="6657" max="6657" width="5.875" style="0" customWidth="1"/>
    <col min="6658" max="6658" width="10.00390625" style="0" bestFit="1" customWidth="1"/>
    <col min="6660" max="6660" width="10.875" style="0" customWidth="1"/>
    <col min="6667" max="6667" width="12.00390625" style="0" customWidth="1"/>
    <col min="6669" max="6669" width="11.375" style="0" customWidth="1"/>
    <col min="6674" max="6675" width="10.875" style="0" customWidth="1"/>
    <col min="6676" max="6676" width="10.75390625" style="0" customWidth="1"/>
    <col min="6678" max="6678" width="11.125" style="0" customWidth="1"/>
    <col min="6679" max="6679" width="10.75390625" style="0" customWidth="1"/>
    <col min="6913" max="6913" width="5.875" style="0" customWidth="1"/>
    <col min="6914" max="6914" width="10.00390625" style="0" bestFit="1" customWidth="1"/>
    <col min="6916" max="6916" width="10.875" style="0" customWidth="1"/>
    <col min="6923" max="6923" width="12.00390625" style="0" customWidth="1"/>
    <col min="6925" max="6925" width="11.375" style="0" customWidth="1"/>
    <col min="6930" max="6931" width="10.875" style="0" customWidth="1"/>
    <col min="6932" max="6932" width="10.75390625" style="0" customWidth="1"/>
    <col min="6934" max="6934" width="11.125" style="0" customWidth="1"/>
    <col min="6935" max="6935" width="10.75390625" style="0" customWidth="1"/>
    <col min="7169" max="7169" width="5.875" style="0" customWidth="1"/>
    <col min="7170" max="7170" width="10.00390625" style="0" bestFit="1" customWidth="1"/>
    <col min="7172" max="7172" width="10.875" style="0" customWidth="1"/>
    <col min="7179" max="7179" width="12.00390625" style="0" customWidth="1"/>
    <col min="7181" max="7181" width="11.375" style="0" customWidth="1"/>
    <col min="7186" max="7187" width="10.875" style="0" customWidth="1"/>
    <col min="7188" max="7188" width="10.75390625" style="0" customWidth="1"/>
    <col min="7190" max="7190" width="11.125" style="0" customWidth="1"/>
    <col min="7191" max="7191" width="10.75390625" style="0" customWidth="1"/>
    <col min="7425" max="7425" width="5.875" style="0" customWidth="1"/>
    <col min="7426" max="7426" width="10.00390625" style="0" bestFit="1" customWidth="1"/>
    <col min="7428" max="7428" width="10.875" style="0" customWidth="1"/>
    <col min="7435" max="7435" width="12.00390625" style="0" customWidth="1"/>
    <col min="7437" max="7437" width="11.375" style="0" customWidth="1"/>
    <col min="7442" max="7443" width="10.875" style="0" customWidth="1"/>
    <col min="7444" max="7444" width="10.75390625" style="0" customWidth="1"/>
    <col min="7446" max="7446" width="11.125" style="0" customWidth="1"/>
    <col min="7447" max="7447" width="10.75390625" style="0" customWidth="1"/>
    <col min="7681" max="7681" width="5.875" style="0" customWidth="1"/>
    <col min="7682" max="7682" width="10.00390625" style="0" bestFit="1" customWidth="1"/>
    <col min="7684" max="7684" width="10.875" style="0" customWidth="1"/>
    <col min="7691" max="7691" width="12.00390625" style="0" customWidth="1"/>
    <col min="7693" max="7693" width="11.375" style="0" customWidth="1"/>
    <col min="7698" max="7699" width="10.875" style="0" customWidth="1"/>
    <col min="7700" max="7700" width="10.75390625" style="0" customWidth="1"/>
    <col min="7702" max="7702" width="11.125" style="0" customWidth="1"/>
    <col min="7703" max="7703" width="10.75390625" style="0" customWidth="1"/>
    <col min="7937" max="7937" width="5.875" style="0" customWidth="1"/>
    <col min="7938" max="7938" width="10.00390625" style="0" bestFit="1" customWidth="1"/>
    <col min="7940" max="7940" width="10.875" style="0" customWidth="1"/>
    <col min="7947" max="7947" width="12.00390625" style="0" customWidth="1"/>
    <col min="7949" max="7949" width="11.375" style="0" customWidth="1"/>
    <col min="7954" max="7955" width="10.875" style="0" customWidth="1"/>
    <col min="7956" max="7956" width="10.75390625" style="0" customWidth="1"/>
    <col min="7958" max="7958" width="11.125" style="0" customWidth="1"/>
    <col min="7959" max="7959" width="10.75390625" style="0" customWidth="1"/>
    <col min="8193" max="8193" width="5.875" style="0" customWidth="1"/>
    <col min="8194" max="8194" width="10.00390625" style="0" bestFit="1" customWidth="1"/>
    <col min="8196" max="8196" width="10.875" style="0" customWidth="1"/>
    <col min="8203" max="8203" width="12.00390625" style="0" customWidth="1"/>
    <col min="8205" max="8205" width="11.375" style="0" customWidth="1"/>
    <col min="8210" max="8211" width="10.875" style="0" customWidth="1"/>
    <col min="8212" max="8212" width="10.75390625" style="0" customWidth="1"/>
    <col min="8214" max="8214" width="11.125" style="0" customWidth="1"/>
    <col min="8215" max="8215" width="10.75390625" style="0" customWidth="1"/>
    <col min="8449" max="8449" width="5.875" style="0" customWidth="1"/>
    <col min="8450" max="8450" width="10.00390625" style="0" bestFit="1" customWidth="1"/>
    <col min="8452" max="8452" width="10.875" style="0" customWidth="1"/>
    <col min="8459" max="8459" width="12.00390625" style="0" customWidth="1"/>
    <col min="8461" max="8461" width="11.375" style="0" customWidth="1"/>
    <col min="8466" max="8467" width="10.875" style="0" customWidth="1"/>
    <col min="8468" max="8468" width="10.75390625" style="0" customWidth="1"/>
    <col min="8470" max="8470" width="11.125" style="0" customWidth="1"/>
    <col min="8471" max="8471" width="10.75390625" style="0" customWidth="1"/>
    <col min="8705" max="8705" width="5.875" style="0" customWidth="1"/>
    <col min="8706" max="8706" width="10.00390625" style="0" bestFit="1" customWidth="1"/>
    <col min="8708" max="8708" width="10.875" style="0" customWidth="1"/>
    <col min="8715" max="8715" width="12.00390625" style="0" customWidth="1"/>
    <col min="8717" max="8717" width="11.375" style="0" customWidth="1"/>
    <col min="8722" max="8723" width="10.875" style="0" customWidth="1"/>
    <col min="8724" max="8724" width="10.75390625" style="0" customWidth="1"/>
    <col min="8726" max="8726" width="11.125" style="0" customWidth="1"/>
    <col min="8727" max="8727" width="10.75390625" style="0" customWidth="1"/>
    <col min="8961" max="8961" width="5.875" style="0" customWidth="1"/>
    <col min="8962" max="8962" width="10.00390625" style="0" bestFit="1" customWidth="1"/>
    <col min="8964" max="8964" width="10.875" style="0" customWidth="1"/>
    <col min="8971" max="8971" width="12.00390625" style="0" customWidth="1"/>
    <col min="8973" max="8973" width="11.375" style="0" customWidth="1"/>
    <col min="8978" max="8979" width="10.875" style="0" customWidth="1"/>
    <col min="8980" max="8980" width="10.75390625" style="0" customWidth="1"/>
    <col min="8982" max="8982" width="11.125" style="0" customWidth="1"/>
    <col min="8983" max="8983" width="10.75390625" style="0" customWidth="1"/>
    <col min="9217" max="9217" width="5.875" style="0" customWidth="1"/>
    <col min="9218" max="9218" width="10.00390625" style="0" bestFit="1" customWidth="1"/>
    <col min="9220" max="9220" width="10.875" style="0" customWidth="1"/>
    <col min="9227" max="9227" width="12.00390625" style="0" customWidth="1"/>
    <col min="9229" max="9229" width="11.375" style="0" customWidth="1"/>
    <col min="9234" max="9235" width="10.875" style="0" customWidth="1"/>
    <col min="9236" max="9236" width="10.75390625" style="0" customWidth="1"/>
    <col min="9238" max="9238" width="11.125" style="0" customWidth="1"/>
    <col min="9239" max="9239" width="10.75390625" style="0" customWidth="1"/>
    <col min="9473" max="9473" width="5.875" style="0" customWidth="1"/>
    <col min="9474" max="9474" width="10.00390625" style="0" bestFit="1" customWidth="1"/>
    <col min="9476" max="9476" width="10.875" style="0" customWidth="1"/>
    <col min="9483" max="9483" width="12.00390625" style="0" customWidth="1"/>
    <col min="9485" max="9485" width="11.375" style="0" customWidth="1"/>
    <col min="9490" max="9491" width="10.875" style="0" customWidth="1"/>
    <col min="9492" max="9492" width="10.75390625" style="0" customWidth="1"/>
    <col min="9494" max="9494" width="11.125" style="0" customWidth="1"/>
    <col min="9495" max="9495" width="10.75390625" style="0" customWidth="1"/>
    <col min="9729" max="9729" width="5.875" style="0" customWidth="1"/>
    <col min="9730" max="9730" width="10.00390625" style="0" bestFit="1" customWidth="1"/>
    <col min="9732" max="9732" width="10.875" style="0" customWidth="1"/>
    <col min="9739" max="9739" width="12.00390625" style="0" customWidth="1"/>
    <col min="9741" max="9741" width="11.375" style="0" customWidth="1"/>
    <col min="9746" max="9747" width="10.875" style="0" customWidth="1"/>
    <col min="9748" max="9748" width="10.75390625" style="0" customWidth="1"/>
    <col min="9750" max="9750" width="11.125" style="0" customWidth="1"/>
    <col min="9751" max="9751" width="10.75390625" style="0" customWidth="1"/>
    <col min="9985" max="9985" width="5.875" style="0" customWidth="1"/>
    <col min="9986" max="9986" width="10.00390625" style="0" bestFit="1" customWidth="1"/>
    <col min="9988" max="9988" width="10.875" style="0" customWidth="1"/>
    <col min="9995" max="9995" width="12.00390625" style="0" customWidth="1"/>
    <col min="9997" max="9997" width="11.375" style="0" customWidth="1"/>
    <col min="10002" max="10003" width="10.875" style="0" customWidth="1"/>
    <col min="10004" max="10004" width="10.75390625" style="0" customWidth="1"/>
    <col min="10006" max="10006" width="11.125" style="0" customWidth="1"/>
    <col min="10007" max="10007" width="10.75390625" style="0" customWidth="1"/>
    <col min="10241" max="10241" width="5.875" style="0" customWidth="1"/>
    <col min="10242" max="10242" width="10.00390625" style="0" bestFit="1" customWidth="1"/>
    <col min="10244" max="10244" width="10.875" style="0" customWidth="1"/>
    <col min="10251" max="10251" width="12.00390625" style="0" customWidth="1"/>
    <col min="10253" max="10253" width="11.375" style="0" customWidth="1"/>
    <col min="10258" max="10259" width="10.875" style="0" customWidth="1"/>
    <col min="10260" max="10260" width="10.75390625" style="0" customWidth="1"/>
    <col min="10262" max="10262" width="11.125" style="0" customWidth="1"/>
    <col min="10263" max="10263" width="10.75390625" style="0" customWidth="1"/>
    <col min="10497" max="10497" width="5.875" style="0" customWidth="1"/>
    <col min="10498" max="10498" width="10.00390625" style="0" bestFit="1" customWidth="1"/>
    <col min="10500" max="10500" width="10.875" style="0" customWidth="1"/>
    <col min="10507" max="10507" width="12.00390625" style="0" customWidth="1"/>
    <col min="10509" max="10509" width="11.375" style="0" customWidth="1"/>
    <col min="10514" max="10515" width="10.875" style="0" customWidth="1"/>
    <col min="10516" max="10516" width="10.75390625" style="0" customWidth="1"/>
    <col min="10518" max="10518" width="11.125" style="0" customWidth="1"/>
    <col min="10519" max="10519" width="10.75390625" style="0" customWidth="1"/>
    <col min="10753" max="10753" width="5.875" style="0" customWidth="1"/>
    <col min="10754" max="10754" width="10.00390625" style="0" bestFit="1" customWidth="1"/>
    <col min="10756" max="10756" width="10.875" style="0" customWidth="1"/>
    <col min="10763" max="10763" width="12.00390625" style="0" customWidth="1"/>
    <col min="10765" max="10765" width="11.375" style="0" customWidth="1"/>
    <col min="10770" max="10771" width="10.875" style="0" customWidth="1"/>
    <col min="10772" max="10772" width="10.75390625" style="0" customWidth="1"/>
    <col min="10774" max="10774" width="11.125" style="0" customWidth="1"/>
    <col min="10775" max="10775" width="10.75390625" style="0" customWidth="1"/>
    <col min="11009" max="11009" width="5.875" style="0" customWidth="1"/>
    <col min="11010" max="11010" width="10.00390625" style="0" bestFit="1" customWidth="1"/>
    <col min="11012" max="11012" width="10.875" style="0" customWidth="1"/>
    <col min="11019" max="11019" width="12.00390625" style="0" customWidth="1"/>
    <col min="11021" max="11021" width="11.375" style="0" customWidth="1"/>
    <col min="11026" max="11027" width="10.875" style="0" customWidth="1"/>
    <col min="11028" max="11028" width="10.75390625" style="0" customWidth="1"/>
    <col min="11030" max="11030" width="11.125" style="0" customWidth="1"/>
    <col min="11031" max="11031" width="10.75390625" style="0" customWidth="1"/>
    <col min="11265" max="11265" width="5.875" style="0" customWidth="1"/>
    <col min="11266" max="11266" width="10.00390625" style="0" bestFit="1" customWidth="1"/>
    <col min="11268" max="11268" width="10.875" style="0" customWidth="1"/>
    <col min="11275" max="11275" width="12.00390625" style="0" customWidth="1"/>
    <col min="11277" max="11277" width="11.375" style="0" customWidth="1"/>
    <col min="11282" max="11283" width="10.875" style="0" customWidth="1"/>
    <col min="11284" max="11284" width="10.75390625" style="0" customWidth="1"/>
    <col min="11286" max="11286" width="11.125" style="0" customWidth="1"/>
    <col min="11287" max="11287" width="10.75390625" style="0" customWidth="1"/>
    <col min="11521" max="11521" width="5.875" style="0" customWidth="1"/>
    <col min="11522" max="11522" width="10.00390625" style="0" bestFit="1" customWidth="1"/>
    <col min="11524" max="11524" width="10.875" style="0" customWidth="1"/>
    <col min="11531" max="11531" width="12.00390625" style="0" customWidth="1"/>
    <col min="11533" max="11533" width="11.375" style="0" customWidth="1"/>
    <col min="11538" max="11539" width="10.875" style="0" customWidth="1"/>
    <col min="11540" max="11540" width="10.75390625" style="0" customWidth="1"/>
    <col min="11542" max="11542" width="11.125" style="0" customWidth="1"/>
    <col min="11543" max="11543" width="10.75390625" style="0" customWidth="1"/>
    <col min="11777" max="11777" width="5.875" style="0" customWidth="1"/>
    <col min="11778" max="11778" width="10.00390625" style="0" bestFit="1" customWidth="1"/>
    <col min="11780" max="11780" width="10.875" style="0" customWidth="1"/>
    <col min="11787" max="11787" width="12.00390625" style="0" customWidth="1"/>
    <col min="11789" max="11789" width="11.375" style="0" customWidth="1"/>
    <col min="11794" max="11795" width="10.875" style="0" customWidth="1"/>
    <col min="11796" max="11796" width="10.75390625" style="0" customWidth="1"/>
    <col min="11798" max="11798" width="11.125" style="0" customWidth="1"/>
    <col min="11799" max="11799" width="10.75390625" style="0" customWidth="1"/>
    <col min="12033" max="12033" width="5.875" style="0" customWidth="1"/>
    <col min="12034" max="12034" width="10.00390625" style="0" bestFit="1" customWidth="1"/>
    <col min="12036" max="12036" width="10.875" style="0" customWidth="1"/>
    <col min="12043" max="12043" width="12.00390625" style="0" customWidth="1"/>
    <col min="12045" max="12045" width="11.375" style="0" customWidth="1"/>
    <col min="12050" max="12051" width="10.875" style="0" customWidth="1"/>
    <col min="12052" max="12052" width="10.75390625" style="0" customWidth="1"/>
    <col min="12054" max="12054" width="11.125" style="0" customWidth="1"/>
    <col min="12055" max="12055" width="10.75390625" style="0" customWidth="1"/>
    <col min="12289" max="12289" width="5.875" style="0" customWidth="1"/>
    <col min="12290" max="12290" width="10.00390625" style="0" bestFit="1" customWidth="1"/>
    <col min="12292" max="12292" width="10.875" style="0" customWidth="1"/>
    <col min="12299" max="12299" width="12.00390625" style="0" customWidth="1"/>
    <col min="12301" max="12301" width="11.375" style="0" customWidth="1"/>
    <col min="12306" max="12307" width="10.875" style="0" customWidth="1"/>
    <col min="12308" max="12308" width="10.75390625" style="0" customWidth="1"/>
    <col min="12310" max="12310" width="11.125" style="0" customWidth="1"/>
    <col min="12311" max="12311" width="10.75390625" style="0" customWidth="1"/>
    <col min="12545" max="12545" width="5.875" style="0" customWidth="1"/>
    <col min="12546" max="12546" width="10.00390625" style="0" bestFit="1" customWidth="1"/>
    <col min="12548" max="12548" width="10.875" style="0" customWidth="1"/>
    <col min="12555" max="12555" width="12.00390625" style="0" customWidth="1"/>
    <col min="12557" max="12557" width="11.375" style="0" customWidth="1"/>
    <col min="12562" max="12563" width="10.875" style="0" customWidth="1"/>
    <col min="12564" max="12564" width="10.75390625" style="0" customWidth="1"/>
    <col min="12566" max="12566" width="11.125" style="0" customWidth="1"/>
    <col min="12567" max="12567" width="10.75390625" style="0" customWidth="1"/>
    <col min="12801" max="12801" width="5.875" style="0" customWidth="1"/>
    <col min="12802" max="12802" width="10.00390625" style="0" bestFit="1" customWidth="1"/>
    <col min="12804" max="12804" width="10.875" style="0" customWidth="1"/>
    <col min="12811" max="12811" width="12.00390625" style="0" customWidth="1"/>
    <col min="12813" max="12813" width="11.375" style="0" customWidth="1"/>
    <col min="12818" max="12819" width="10.875" style="0" customWidth="1"/>
    <col min="12820" max="12820" width="10.75390625" style="0" customWidth="1"/>
    <col min="12822" max="12822" width="11.125" style="0" customWidth="1"/>
    <col min="12823" max="12823" width="10.75390625" style="0" customWidth="1"/>
    <col min="13057" max="13057" width="5.875" style="0" customWidth="1"/>
    <col min="13058" max="13058" width="10.00390625" style="0" bestFit="1" customWidth="1"/>
    <col min="13060" max="13060" width="10.875" style="0" customWidth="1"/>
    <col min="13067" max="13067" width="12.00390625" style="0" customWidth="1"/>
    <col min="13069" max="13069" width="11.375" style="0" customWidth="1"/>
    <col min="13074" max="13075" width="10.875" style="0" customWidth="1"/>
    <col min="13076" max="13076" width="10.75390625" style="0" customWidth="1"/>
    <col min="13078" max="13078" width="11.125" style="0" customWidth="1"/>
    <col min="13079" max="13079" width="10.75390625" style="0" customWidth="1"/>
    <col min="13313" max="13313" width="5.875" style="0" customWidth="1"/>
    <col min="13314" max="13314" width="10.00390625" style="0" bestFit="1" customWidth="1"/>
    <col min="13316" max="13316" width="10.875" style="0" customWidth="1"/>
    <col min="13323" max="13323" width="12.00390625" style="0" customWidth="1"/>
    <col min="13325" max="13325" width="11.375" style="0" customWidth="1"/>
    <col min="13330" max="13331" width="10.875" style="0" customWidth="1"/>
    <col min="13332" max="13332" width="10.75390625" style="0" customWidth="1"/>
    <col min="13334" max="13334" width="11.125" style="0" customWidth="1"/>
    <col min="13335" max="13335" width="10.75390625" style="0" customWidth="1"/>
    <col min="13569" max="13569" width="5.875" style="0" customWidth="1"/>
    <col min="13570" max="13570" width="10.00390625" style="0" bestFit="1" customWidth="1"/>
    <col min="13572" max="13572" width="10.875" style="0" customWidth="1"/>
    <col min="13579" max="13579" width="12.00390625" style="0" customWidth="1"/>
    <col min="13581" max="13581" width="11.375" style="0" customWidth="1"/>
    <col min="13586" max="13587" width="10.875" style="0" customWidth="1"/>
    <col min="13588" max="13588" width="10.75390625" style="0" customWidth="1"/>
    <col min="13590" max="13590" width="11.125" style="0" customWidth="1"/>
    <col min="13591" max="13591" width="10.75390625" style="0" customWidth="1"/>
    <col min="13825" max="13825" width="5.875" style="0" customWidth="1"/>
    <col min="13826" max="13826" width="10.00390625" style="0" bestFit="1" customWidth="1"/>
    <col min="13828" max="13828" width="10.875" style="0" customWidth="1"/>
    <col min="13835" max="13835" width="12.00390625" style="0" customWidth="1"/>
    <col min="13837" max="13837" width="11.375" style="0" customWidth="1"/>
    <col min="13842" max="13843" width="10.875" style="0" customWidth="1"/>
    <col min="13844" max="13844" width="10.75390625" style="0" customWidth="1"/>
    <col min="13846" max="13846" width="11.125" style="0" customWidth="1"/>
    <col min="13847" max="13847" width="10.75390625" style="0" customWidth="1"/>
    <col min="14081" max="14081" width="5.875" style="0" customWidth="1"/>
    <col min="14082" max="14082" width="10.00390625" style="0" bestFit="1" customWidth="1"/>
    <col min="14084" max="14084" width="10.875" style="0" customWidth="1"/>
    <col min="14091" max="14091" width="12.00390625" style="0" customWidth="1"/>
    <col min="14093" max="14093" width="11.375" style="0" customWidth="1"/>
    <col min="14098" max="14099" width="10.875" style="0" customWidth="1"/>
    <col min="14100" max="14100" width="10.75390625" style="0" customWidth="1"/>
    <col min="14102" max="14102" width="11.125" style="0" customWidth="1"/>
    <col min="14103" max="14103" width="10.75390625" style="0" customWidth="1"/>
    <col min="14337" max="14337" width="5.875" style="0" customWidth="1"/>
    <col min="14338" max="14338" width="10.00390625" style="0" bestFit="1" customWidth="1"/>
    <col min="14340" max="14340" width="10.875" style="0" customWidth="1"/>
    <col min="14347" max="14347" width="12.00390625" style="0" customWidth="1"/>
    <col min="14349" max="14349" width="11.375" style="0" customWidth="1"/>
    <col min="14354" max="14355" width="10.875" style="0" customWidth="1"/>
    <col min="14356" max="14356" width="10.75390625" style="0" customWidth="1"/>
    <col min="14358" max="14358" width="11.125" style="0" customWidth="1"/>
    <col min="14359" max="14359" width="10.75390625" style="0" customWidth="1"/>
    <col min="14593" max="14593" width="5.875" style="0" customWidth="1"/>
    <col min="14594" max="14594" width="10.00390625" style="0" bestFit="1" customWidth="1"/>
    <col min="14596" max="14596" width="10.875" style="0" customWidth="1"/>
    <col min="14603" max="14603" width="12.00390625" style="0" customWidth="1"/>
    <col min="14605" max="14605" width="11.375" style="0" customWidth="1"/>
    <col min="14610" max="14611" width="10.875" style="0" customWidth="1"/>
    <col min="14612" max="14612" width="10.75390625" style="0" customWidth="1"/>
    <col min="14614" max="14614" width="11.125" style="0" customWidth="1"/>
    <col min="14615" max="14615" width="10.75390625" style="0" customWidth="1"/>
    <col min="14849" max="14849" width="5.875" style="0" customWidth="1"/>
    <col min="14850" max="14850" width="10.00390625" style="0" bestFit="1" customWidth="1"/>
    <col min="14852" max="14852" width="10.875" style="0" customWidth="1"/>
    <col min="14859" max="14859" width="12.00390625" style="0" customWidth="1"/>
    <col min="14861" max="14861" width="11.375" style="0" customWidth="1"/>
    <col min="14866" max="14867" width="10.875" style="0" customWidth="1"/>
    <col min="14868" max="14868" width="10.75390625" style="0" customWidth="1"/>
    <col min="14870" max="14870" width="11.125" style="0" customWidth="1"/>
    <col min="14871" max="14871" width="10.75390625" style="0" customWidth="1"/>
    <col min="15105" max="15105" width="5.875" style="0" customWidth="1"/>
    <col min="15106" max="15106" width="10.00390625" style="0" bestFit="1" customWidth="1"/>
    <col min="15108" max="15108" width="10.875" style="0" customWidth="1"/>
    <col min="15115" max="15115" width="12.00390625" style="0" customWidth="1"/>
    <col min="15117" max="15117" width="11.375" style="0" customWidth="1"/>
    <col min="15122" max="15123" width="10.875" style="0" customWidth="1"/>
    <col min="15124" max="15124" width="10.75390625" style="0" customWidth="1"/>
    <col min="15126" max="15126" width="11.125" style="0" customWidth="1"/>
    <col min="15127" max="15127" width="10.75390625" style="0" customWidth="1"/>
    <col min="15361" max="15361" width="5.875" style="0" customWidth="1"/>
    <col min="15362" max="15362" width="10.00390625" style="0" bestFit="1" customWidth="1"/>
    <col min="15364" max="15364" width="10.875" style="0" customWidth="1"/>
    <col min="15371" max="15371" width="12.00390625" style="0" customWidth="1"/>
    <col min="15373" max="15373" width="11.375" style="0" customWidth="1"/>
    <col min="15378" max="15379" width="10.875" style="0" customWidth="1"/>
    <col min="15380" max="15380" width="10.75390625" style="0" customWidth="1"/>
    <col min="15382" max="15382" width="11.125" style="0" customWidth="1"/>
    <col min="15383" max="15383" width="10.75390625" style="0" customWidth="1"/>
    <col min="15617" max="15617" width="5.875" style="0" customWidth="1"/>
    <col min="15618" max="15618" width="10.00390625" style="0" bestFit="1" customWidth="1"/>
    <col min="15620" max="15620" width="10.875" style="0" customWidth="1"/>
    <col min="15627" max="15627" width="12.00390625" style="0" customWidth="1"/>
    <col min="15629" max="15629" width="11.375" style="0" customWidth="1"/>
    <col min="15634" max="15635" width="10.875" style="0" customWidth="1"/>
    <col min="15636" max="15636" width="10.75390625" style="0" customWidth="1"/>
    <col min="15638" max="15638" width="11.125" style="0" customWidth="1"/>
    <col min="15639" max="15639" width="10.75390625" style="0" customWidth="1"/>
    <col min="15873" max="15873" width="5.875" style="0" customWidth="1"/>
    <col min="15874" max="15874" width="10.00390625" style="0" bestFit="1" customWidth="1"/>
    <col min="15876" max="15876" width="10.875" style="0" customWidth="1"/>
    <col min="15883" max="15883" width="12.00390625" style="0" customWidth="1"/>
    <col min="15885" max="15885" width="11.375" style="0" customWidth="1"/>
    <col min="15890" max="15891" width="10.875" style="0" customWidth="1"/>
    <col min="15892" max="15892" width="10.75390625" style="0" customWidth="1"/>
    <col min="15894" max="15894" width="11.125" style="0" customWidth="1"/>
    <col min="15895" max="15895" width="10.75390625" style="0" customWidth="1"/>
    <col min="16129" max="16129" width="5.875" style="0" customWidth="1"/>
    <col min="16130" max="16130" width="10.00390625" style="0" bestFit="1" customWidth="1"/>
    <col min="16132" max="16132" width="10.875" style="0" customWidth="1"/>
    <col min="16139" max="16139" width="12.00390625" style="0" customWidth="1"/>
    <col min="16141" max="16141" width="11.375" style="0" customWidth="1"/>
    <col min="16146" max="16147" width="10.875" style="0" customWidth="1"/>
    <col min="16148" max="16148" width="10.75390625" style="0" customWidth="1"/>
    <col min="16150" max="16150" width="11.125" style="0" customWidth="1"/>
    <col min="16151" max="16151" width="10.75390625" style="0" customWidth="1"/>
  </cols>
  <sheetData>
    <row r="1" spans="1:19" ht="19.5">
      <c r="A1" s="231" t="s">
        <v>139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52"/>
      <c r="Q1" s="52"/>
      <c r="R1" s="52"/>
      <c r="S1" s="52"/>
    </row>
    <row r="2" spans="2:39" ht="13.5" thickBot="1">
      <c r="B2" s="52"/>
      <c r="C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</row>
    <row r="3" spans="2:39" ht="12.75">
      <c r="B3" s="52"/>
      <c r="C3" s="52"/>
      <c r="D3" s="52"/>
      <c r="E3" s="243" t="s">
        <v>39</v>
      </c>
      <c r="F3" s="244"/>
      <c r="G3" s="244"/>
      <c r="H3" s="244"/>
      <c r="I3" s="244"/>
      <c r="J3" s="244"/>
      <c r="K3" s="245"/>
      <c r="L3" s="243" t="s">
        <v>112</v>
      </c>
      <c r="M3" s="244"/>
      <c r="N3" s="244"/>
      <c r="O3" s="244"/>
      <c r="P3" s="244"/>
      <c r="Q3" s="244"/>
      <c r="R3" s="244"/>
      <c r="S3" s="245"/>
      <c r="T3" s="154" t="s">
        <v>34</v>
      </c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</row>
    <row r="4" spans="5:20" ht="13.5" thickBot="1">
      <c r="E4" s="53" t="s">
        <v>113</v>
      </c>
      <c r="F4" s="54" t="s">
        <v>114</v>
      </c>
      <c r="G4" s="54" t="s">
        <v>115</v>
      </c>
      <c r="H4" s="54" t="s">
        <v>116</v>
      </c>
      <c r="I4" s="55" t="s">
        <v>117</v>
      </c>
      <c r="J4" s="54" t="s">
        <v>33</v>
      </c>
      <c r="K4" s="56" t="s">
        <v>118</v>
      </c>
      <c r="L4" s="53" t="s">
        <v>113</v>
      </c>
      <c r="M4" s="54" t="s">
        <v>114</v>
      </c>
      <c r="N4" s="54" t="s">
        <v>115</v>
      </c>
      <c r="O4" s="54" t="s">
        <v>116</v>
      </c>
      <c r="P4" s="55" t="s">
        <v>117</v>
      </c>
      <c r="Q4" s="54" t="s">
        <v>33</v>
      </c>
      <c r="R4" s="54" t="s">
        <v>118</v>
      </c>
      <c r="S4" s="56" t="s">
        <v>119</v>
      </c>
      <c r="T4" s="155"/>
    </row>
    <row r="5" spans="1:20" ht="12.75">
      <c r="A5">
        <v>1</v>
      </c>
      <c r="B5" s="57">
        <v>603824832</v>
      </c>
      <c r="C5" s="58">
        <v>1400</v>
      </c>
      <c r="D5" s="59" t="s">
        <v>120</v>
      </c>
      <c r="E5" s="57">
        <v>1623</v>
      </c>
      <c r="F5" s="58">
        <v>434</v>
      </c>
      <c r="G5" s="58">
        <v>517</v>
      </c>
      <c r="H5" s="58">
        <v>29</v>
      </c>
      <c r="I5" s="58">
        <v>1000</v>
      </c>
      <c r="J5" s="58">
        <v>130</v>
      </c>
      <c r="K5" s="58">
        <v>9305</v>
      </c>
      <c r="L5" s="60">
        <v>324.6</v>
      </c>
      <c r="M5" s="58">
        <v>86.8</v>
      </c>
      <c r="N5" s="57">
        <v>103.4</v>
      </c>
      <c r="O5" s="57">
        <v>5.8</v>
      </c>
      <c r="P5" s="57">
        <v>200</v>
      </c>
      <c r="Q5" s="57">
        <v>26</v>
      </c>
      <c r="R5" s="57">
        <v>1861</v>
      </c>
      <c r="S5" s="61">
        <v>2233.2</v>
      </c>
      <c r="T5" s="97">
        <v>41622</v>
      </c>
    </row>
    <row r="6" spans="1:20" ht="12.75">
      <c r="A6">
        <v>2</v>
      </c>
      <c r="B6" s="62">
        <v>605249271</v>
      </c>
      <c r="C6" s="52">
        <v>900</v>
      </c>
      <c r="D6" s="63" t="s">
        <v>120</v>
      </c>
      <c r="E6" s="62">
        <v>914</v>
      </c>
      <c r="F6" s="52">
        <v>293</v>
      </c>
      <c r="G6" s="52">
        <v>299</v>
      </c>
      <c r="H6" s="52">
        <v>120</v>
      </c>
      <c r="I6" s="52">
        <v>22</v>
      </c>
      <c r="J6" s="52">
        <v>695</v>
      </c>
      <c r="K6" s="52">
        <v>6177</v>
      </c>
      <c r="L6" s="64">
        <v>182.8</v>
      </c>
      <c r="M6" s="52">
        <v>58.6</v>
      </c>
      <c r="N6" s="62">
        <v>59.8</v>
      </c>
      <c r="O6" s="62">
        <v>24</v>
      </c>
      <c r="P6" s="62">
        <v>4.4</v>
      </c>
      <c r="Q6" s="62">
        <v>139</v>
      </c>
      <c r="R6" s="62">
        <v>1235.4</v>
      </c>
      <c r="S6" s="65">
        <v>1482.48</v>
      </c>
      <c r="T6" s="108">
        <v>41289</v>
      </c>
    </row>
    <row r="7" spans="1:20" ht="12.75">
      <c r="A7">
        <v>3</v>
      </c>
      <c r="B7" s="62">
        <v>734573891</v>
      </c>
      <c r="C7" s="52">
        <v>15</v>
      </c>
      <c r="D7" s="63" t="s">
        <v>121</v>
      </c>
      <c r="E7" s="62">
        <v>0</v>
      </c>
      <c r="F7" s="52">
        <v>0</v>
      </c>
      <c r="G7" s="52">
        <v>0</v>
      </c>
      <c r="H7" s="52">
        <v>0</v>
      </c>
      <c r="I7" s="52">
        <v>0</v>
      </c>
      <c r="J7" s="52">
        <v>492</v>
      </c>
      <c r="K7" s="52">
        <v>1304</v>
      </c>
      <c r="L7" s="64">
        <v>0</v>
      </c>
      <c r="M7" s="52">
        <v>0</v>
      </c>
      <c r="N7" s="62">
        <v>0</v>
      </c>
      <c r="O7" s="62">
        <v>0</v>
      </c>
      <c r="P7" s="62">
        <v>0</v>
      </c>
      <c r="Q7" s="62">
        <v>98.4</v>
      </c>
      <c r="R7" s="62">
        <v>260.8</v>
      </c>
      <c r="S7" s="65">
        <v>312.96</v>
      </c>
      <c r="T7" s="98" t="s">
        <v>156</v>
      </c>
    </row>
    <row r="8" spans="1:20" ht="12.75">
      <c r="A8">
        <v>4</v>
      </c>
      <c r="B8" s="62">
        <v>734573892</v>
      </c>
      <c r="C8" s="66">
        <v>15</v>
      </c>
      <c r="D8" s="63" t="s">
        <v>121</v>
      </c>
      <c r="E8" s="6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75</v>
      </c>
      <c r="L8" s="64">
        <v>0</v>
      </c>
      <c r="M8" s="52">
        <v>0</v>
      </c>
      <c r="N8" s="62">
        <v>0</v>
      </c>
      <c r="O8" s="62">
        <v>0</v>
      </c>
      <c r="P8" s="62">
        <v>0</v>
      </c>
      <c r="Q8" s="62">
        <v>0</v>
      </c>
      <c r="R8" s="62">
        <v>15</v>
      </c>
      <c r="S8" s="65">
        <v>18</v>
      </c>
      <c r="T8" s="98" t="s">
        <v>156</v>
      </c>
    </row>
    <row r="9" spans="1:20" ht="12.75">
      <c r="A9">
        <v>5</v>
      </c>
      <c r="B9" s="62">
        <v>734573893</v>
      </c>
      <c r="C9" s="66">
        <v>15</v>
      </c>
      <c r="D9" s="63" t="s">
        <v>121</v>
      </c>
      <c r="E9" s="62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52">
        <v>75</v>
      </c>
      <c r="L9" s="64">
        <v>0</v>
      </c>
      <c r="M9" s="52">
        <v>0</v>
      </c>
      <c r="N9" s="62">
        <v>0</v>
      </c>
      <c r="O9" s="62">
        <v>0</v>
      </c>
      <c r="P9" s="62">
        <v>0</v>
      </c>
      <c r="Q9" s="62">
        <v>0</v>
      </c>
      <c r="R9" s="62">
        <v>15</v>
      </c>
      <c r="S9" s="65">
        <v>18</v>
      </c>
      <c r="T9" s="98" t="s">
        <v>156</v>
      </c>
    </row>
    <row r="10" spans="1:20" ht="12.75">
      <c r="A10">
        <v>6</v>
      </c>
      <c r="B10" s="62">
        <v>739010960</v>
      </c>
      <c r="C10" s="66">
        <v>190</v>
      </c>
      <c r="D10" s="63" t="s">
        <v>122</v>
      </c>
      <c r="E10" s="62">
        <v>29</v>
      </c>
      <c r="F10" s="52">
        <v>0</v>
      </c>
      <c r="G10" s="52">
        <v>0</v>
      </c>
      <c r="H10" s="52">
        <v>3</v>
      </c>
      <c r="I10" s="52">
        <v>103</v>
      </c>
      <c r="J10" s="52">
        <v>0</v>
      </c>
      <c r="K10" s="52">
        <v>1132</v>
      </c>
      <c r="L10" s="64">
        <v>5.8</v>
      </c>
      <c r="M10" s="52">
        <v>0</v>
      </c>
      <c r="N10" s="62">
        <v>0</v>
      </c>
      <c r="O10" s="62">
        <v>0.6</v>
      </c>
      <c r="P10" s="62">
        <v>20.6</v>
      </c>
      <c r="Q10" s="62">
        <v>0</v>
      </c>
      <c r="R10" s="62">
        <v>226.4</v>
      </c>
      <c r="S10" s="65">
        <v>271.68</v>
      </c>
      <c r="T10" s="108">
        <v>41289</v>
      </c>
    </row>
    <row r="11" spans="1:20" ht="12.75">
      <c r="A11">
        <v>7</v>
      </c>
      <c r="B11" s="62">
        <v>739010961</v>
      </c>
      <c r="C11" s="66">
        <v>300</v>
      </c>
      <c r="D11" s="63" t="s">
        <v>120</v>
      </c>
      <c r="E11" s="62">
        <v>191</v>
      </c>
      <c r="F11" s="52">
        <v>387</v>
      </c>
      <c r="G11" s="52">
        <v>31</v>
      </c>
      <c r="H11" s="52">
        <v>0</v>
      </c>
      <c r="I11" s="52">
        <v>81</v>
      </c>
      <c r="J11" s="52">
        <v>3</v>
      </c>
      <c r="K11" s="52">
        <v>3096</v>
      </c>
      <c r="L11" s="64">
        <v>38.2</v>
      </c>
      <c r="M11" s="52">
        <v>77.4</v>
      </c>
      <c r="N11" s="62">
        <v>6.2</v>
      </c>
      <c r="O11" s="62">
        <v>0</v>
      </c>
      <c r="P11" s="62">
        <v>16.2</v>
      </c>
      <c r="Q11" s="62">
        <v>0.6</v>
      </c>
      <c r="R11" s="62">
        <v>619.2</v>
      </c>
      <c r="S11" s="65">
        <v>743.04</v>
      </c>
      <c r="T11" s="108">
        <v>41289</v>
      </c>
    </row>
    <row r="12" spans="1:20" ht="12.75">
      <c r="A12">
        <v>8</v>
      </c>
      <c r="B12" s="62">
        <v>739010962</v>
      </c>
      <c r="C12" s="66">
        <v>200</v>
      </c>
      <c r="D12" s="63" t="s">
        <v>120</v>
      </c>
      <c r="E12" s="62">
        <v>235</v>
      </c>
      <c r="F12" s="52">
        <v>32</v>
      </c>
      <c r="G12" s="52">
        <v>16</v>
      </c>
      <c r="H12" s="52">
        <v>1</v>
      </c>
      <c r="I12" s="52">
        <v>69</v>
      </c>
      <c r="J12" s="52">
        <v>9</v>
      </c>
      <c r="K12" s="52">
        <v>1644</v>
      </c>
      <c r="L12" s="64">
        <v>47</v>
      </c>
      <c r="M12" s="52">
        <v>6.4</v>
      </c>
      <c r="N12" s="62">
        <v>3.2</v>
      </c>
      <c r="O12" s="62">
        <v>0.2</v>
      </c>
      <c r="P12" s="62">
        <v>13.8</v>
      </c>
      <c r="Q12" s="62">
        <v>1.8</v>
      </c>
      <c r="R12" s="62">
        <v>328.8</v>
      </c>
      <c r="S12" s="65">
        <v>394.56</v>
      </c>
      <c r="T12" s="108">
        <v>41289</v>
      </c>
    </row>
    <row r="13" spans="1:20" ht="12.75">
      <c r="A13">
        <v>9</v>
      </c>
      <c r="B13" s="62">
        <v>739010963</v>
      </c>
      <c r="C13" s="66">
        <v>300</v>
      </c>
      <c r="D13" s="63" t="s">
        <v>120</v>
      </c>
      <c r="E13" s="6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1680</v>
      </c>
      <c r="L13" s="64">
        <v>0</v>
      </c>
      <c r="M13" s="5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336</v>
      </c>
      <c r="S13" s="65">
        <v>403.2</v>
      </c>
      <c r="T13" s="108">
        <v>41289</v>
      </c>
    </row>
    <row r="14" spans="1:20" ht="12.75">
      <c r="A14">
        <v>10</v>
      </c>
      <c r="B14" s="62">
        <v>739010964</v>
      </c>
      <c r="C14" s="66">
        <v>900</v>
      </c>
      <c r="D14" s="63" t="s">
        <v>120</v>
      </c>
      <c r="E14" s="62">
        <v>1353</v>
      </c>
      <c r="F14" s="52">
        <v>366</v>
      </c>
      <c r="G14" s="52">
        <v>259</v>
      </c>
      <c r="H14" s="52">
        <v>11</v>
      </c>
      <c r="I14" s="52">
        <v>431</v>
      </c>
      <c r="J14" s="52">
        <v>53</v>
      </c>
      <c r="K14" s="52">
        <v>7083</v>
      </c>
      <c r="L14" s="64">
        <v>270.6</v>
      </c>
      <c r="M14" s="52">
        <v>73.2</v>
      </c>
      <c r="N14" s="62">
        <v>51.8</v>
      </c>
      <c r="O14" s="62">
        <v>2.2</v>
      </c>
      <c r="P14" s="62">
        <v>86.2</v>
      </c>
      <c r="Q14" s="62">
        <v>10.6</v>
      </c>
      <c r="R14" s="62">
        <v>1416.6</v>
      </c>
      <c r="S14" s="65">
        <v>1699.92</v>
      </c>
      <c r="T14" s="108">
        <v>41289</v>
      </c>
    </row>
    <row r="15" spans="1:20" ht="12.75">
      <c r="A15">
        <v>11</v>
      </c>
      <c r="B15" s="62">
        <v>739010965</v>
      </c>
      <c r="C15" s="66">
        <v>300</v>
      </c>
      <c r="D15" s="63" t="s">
        <v>120</v>
      </c>
      <c r="E15" s="62">
        <v>200</v>
      </c>
      <c r="F15" s="52">
        <v>7</v>
      </c>
      <c r="G15" s="52">
        <v>11</v>
      </c>
      <c r="H15" s="52">
        <v>7</v>
      </c>
      <c r="I15" s="52">
        <v>118</v>
      </c>
      <c r="J15" s="52">
        <v>86</v>
      </c>
      <c r="K15" s="52">
        <v>1913</v>
      </c>
      <c r="L15" s="64">
        <v>40</v>
      </c>
      <c r="M15" s="52">
        <v>1.4</v>
      </c>
      <c r="N15" s="62">
        <v>2.2</v>
      </c>
      <c r="O15" s="62">
        <v>1.4</v>
      </c>
      <c r="P15" s="62">
        <v>23.6</v>
      </c>
      <c r="Q15" s="62">
        <v>17.2</v>
      </c>
      <c r="R15" s="62">
        <v>382.6</v>
      </c>
      <c r="S15" s="65">
        <v>459.12</v>
      </c>
      <c r="T15" s="108">
        <v>41289</v>
      </c>
    </row>
    <row r="16" spans="1:20" ht="12.75">
      <c r="A16">
        <v>12</v>
      </c>
      <c r="B16" s="62">
        <v>739010966</v>
      </c>
      <c r="C16" s="66">
        <v>600</v>
      </c>
      <c r="D16" s="63" t="s">
        <v>120</v>
      </c>
      <c r="E16" s="62">
        <v>478</v>
      </c>
      <c r="F16" s="52">
        <v>35</v>
      </c>
      <c r="G16" s="52">
        <v>34</v>
      </c>
      <c r="H16" s="52">
        <v>1</v>
      </c>
      <c r="I16" s="52">
        <v>195</v>
      </c>
      <c r="J16" s="52">
        <v>69</v>
      </c>
      <c r="K16" s="52">
        <v>3180</v>
      </c>
      <c r="L16" s="64">
        <v>95.6</v>
      </c>
      <c r="M16" s="52">
        <v>7</v>
      </c>
      <c r="N16" s="62">
        <v>6.8</v>
      </c>
      <c r="O16" s="62">
        <v>0.2</v>
      </c>
      <c r="P16" s="62">
        <v>39</v>
      </c>
      <c r="Q16" s="62">
        <v>13.8</v>
      </c>
      <c r="R16" s="62">
        <v>636</v>
      </c>
      <c r="S16" s="65">
        <v>763.2</v>
      </c>
      <c r="T16" s="108">
        <v>41289</v>
      </c>
    </row>
    <row r="17" spans="1:20" ht="12.75">
      <c r="A17">
        <v>13</v>
      </c>
      <c r="B17" s="62">
        <v>739010968</v>
      </c>
      <c r="C17" s="66">
        <v>600</v>
      </c>
      <c r="D17" s="63" t="s">
        <v>120</v>
      </c>
      <c r="E17" s="62">
        <v>753</v>
      </c>
      <c r="F17" s="52">
        <v>321</v>
      </c>
      <c r="G17" s="52">
        <v>401</v>
      </c>
      <c r="H17" s="52">
        <v>1</v>
      </c>
      <c r="I17" s="52">
        <v>229</v>
      </c>
      <c r="J17" s="52">
        <v>281</v>
      </c>
      <c r="K17" s="52">
        <v>4857</v>
      </c>
      <c r="L17" s="64">
        <v>150.6</v>
      </c>
      <c r="M17" s="52">
        <v>64.2</v>
      </c>
      <c r="N17" s="62">
        <v>80.2</v>
      </c>
      <c r="O17" s="62">
        <v>0.2</v>
      </c>
      <c r="P17" s="62">
        <v>45.8</v>
      </c>
      <c r="Q17" s="62">
        <v>56.2</v>
      </c>
      <c r="R17" s="62">
        <v>971.4</v>
      </c>
      <c r="S17" s="65">
        <v>1165.68</v>
      </c>
      <c r="T17" s="108">
        <v>41289</v>
      </c>
    </row>
    <row r="18" spans="1:20" ht="12.75">
      <c r="A18">
        <v>14</v>
      </c>
      <c r="B18" s="62">
        <v>739070839</v>
      </c>
      <c r="C18" s="66">
        <v>15</v>
      </c>
      <c r="D18" s="63" t="s">
        <v>121</v>
      </c>
      <c r="E18" s="6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80</v>
      </c>
      <c r="L18" s="64">
        <v>0</v>
      </c>
      <c r="M18" s="5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16</v>
      </c>
      <c r="S18" s="65">
        <v>19.2</v>
      </c>
      <c r="T18" s="98" t="s">
        <v>156</v>
      </c>
    </row>
    <row r="19" spans="1:20" ht="12.75">
      <c r="A19">
        <v>15</v>
      </c>
      <c r="B19" s="62">
        <v>739452200</v>
      </c>
      <c r="C19" s="66">
        <v>600</v>
      </c>
      <c r="D19" s="63" t="s">
        <v>123</v>
      </c>
      <c r="E19" s="62">
        <v>321</v>
      </c>
      <c r="F19" s="52">
        <v>35</v>
      </c>
      <c r="G19" s="52">
        <v>19</v>
      </c>
      <c r="H19" s="52">
        <v>8</v>
      </c>
      <c r="I19" s="52">
        <v>159</v>
      </c>
      <c r="J19" s="52">
        <v>125</v>
      </c>
      <c r="K19" s="52">
        <v>3180</v>
      </c>
      <c r="L19" s="64">
        <v>64.2</v>
      </c>
      <c r="M19" s="52">
        <v>7</v>
      </c>
      <c r="N19" s="62">
        <v>3.8</v>
      </c>
      <c r="O19" s="62">
        <v>1.6</v>
      </c>
      <c r="P19" s="62">
        <v>31.8</v>
      </c>
      <c r="Q19" s="62">
        <v>25</v>
      </c>
      <c r="R19" s="62">
        <v>636</v>
      </c>
      <c r="S19" s="65">
        <v>763.2</v>
      </c>
      <c r="T19" s="108">
        <v>41289</v>
      </c>
    </row>
    <row r="20" spans="1:20" ht="12.75">
      <c r="A20">
        <v>16</v>
      </c>
      <c r="B20" s="62">
        <v>739452202</v>
      </c>
      <c r="C20" s="66">
        <v>200</v>
      </c>
      <c r="D20" s="63" t="s">
        <v>120</v>
      </c>
      <c r="E20" s="62">
        <v>103</v>
      </c>
      <c r="F20" s="52">
        <v>52</v>
      </c>
      <c r="G20" s="52">
        <v>5</v>
      </c>
      <c r="H20" s="52">
        <v>5</v>
      </c>
      <c r="I20" s="52">
        <v>38</v>
      </c>
      <c r="J20" s="52">
        <v>2</v>
      </c>
      <c r="K20" s="52">
        <v>1271</v>
      </c>
      <c r="L20" s="64">
        <v>20.6</v>
      </c>
      <c r="M20" s="52">
        <v>10.4</v>
      </c>
      <c r="N20" s="62">
        <v>1</v>
      </c>
      <c r="O20" s="62">
        <v>1</v>
      </c>
      <c r="P20" s="62">
        <v>7.6</v>
      </c>
      <c r="Q20" s="62">
        <v>0.4</v>
      </c>
      <c r="R20" s="62">
        <v>254.2</v>
      </c>
      <c r="S20" s="65">
        <v>305.04</v>
      </c>
      <c r="T20" s="108">
        <v>41289</v>
      </c>
    </row>
    <row r="21" spans="1:20" ht="12.75">
      <c r="A21">
        <v>17</v>
      </c>
      <c r="B21" s="62">
        <v>739452203</v>
      </c>
      <c r="C21" s="66">
        <v>200</v>
      </c>
      <c r="D21" s="63" t="s">
        <v>120</v>
      </c>
      <c r="E21" s="62">
        <v>179</v>
      </c>
      <c r="F21" s="52">
        <v>10</v>
      </c>
      <c r="G21" s="52">
        <v>3</v>
      </c>
      <c r="H21" s="52">
        <v>2</v>
      </c>
      <c r="I21" s="52">
        <v>0</v>
      </c>
      <c r="J21" s="52">
        <v>296</v>
      </c>
      <c r="K21" s="52">
        <v>1342</v>
      </c>
      <c r="L21" s="64">
        <v>35.8</v>
      </c>
      <c r="M21" s="52">
        <v>2</v>
      </c>
      <c r="N21" s="62">
        <v>0.6</v>
      </c>
      <c r="O21" s="62">
        <v>0.4</v>
      </c>
      <c r="P21" s="62">
        <v>0</v>
      </c>
      <c r="Q21" s="62">
        <v>59.2</v>
      </c>
      <c r="R21" s="62">
        <v>268.4</v>
      </c>
      <c r="S21" s="65">
        <v>322.08</v>
      </c>
      <c r="T21" s="108">
        <v>41289</v>
      </c>
    </row>
    <row r="22" spans="1:20" ht="12.75">
      <c r="A22">
        <v>18</v>
      </c>
      <c r="B22" s="62">
        <v>739452204</v>
      </c>
      <c r="C22" s="66">
        <v>15</v>
      </c>
      <c r="D22" s="63" t="s">
        <v>121</v>
      </c>
      <c r="E22" s="6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113</v>
      </c>
      <c r="K22" s="52">
        <v>361</v>
      </c>
      <c r="L22" s="64">
        <v>0</v>
      </c>
      <c r="M22" s="52">
        <v>0</v>
      </c>
      <c r="N22" s="62">
        <v>0</v>
      </c>
      <c r="O22" s="62">
        <v>0</v>
      </c>
      <c r="P22" s="62">
        <v>0</v>
      </c>
      <c r="Q22" s="62">
        <v>22.6</v>
      </c>
      <c r="R22" s="62">
        <v>72.2</v>
      </c>
      <c r="S22" s="65">
        <v>86.64</v>
      </c>
      <c r="T22" s="98" t="s">
        <v>156</v>
      </c>
    </row>
    <row r="23" spans="1:20" ht="13.5" thickBot="1">
      <c r="A23">
        <v>19</v>
      </c>
      <c r="B23" s="53">
        <v>739452205</v>
      </c>
      <c r="C23" s="55">
        <v>15</v>
      </c>
      <c r="D23" s="56" t="s">
        <v>121</v>
      </c>
      <c r="E23" s="67">
        <v>0</v>
      </c>
      <c r="F23" s="68">
        <v>0</v>
      </c>
      <c r="G23" s="68">
        <v>0</v>
      </c>
      <c r="H23" s="68">
        <v>0</v>
      </c>
      <c r="I23" s="68">
        <v>0</v>
      </c>
      <c r="J23" s="68">
        <v>194</v>
      </c>
      <c r="K23" s="68">
        <v>565</v>
      </c>
      <c r="L23" s="69">
        <v>0</v>
      </c>
      <c r="M23" s="68">
        <v>0</v>
      </c>
      <c r="N23" s="67">
        <v>0</v>
      </c>
      <c r="O23" s="67">
        <v>0</v>
      </c>
      <c r="P23" s="67">
        <v>0</v>
      </c>
      <c r="Q23" s="67">
        <v>38.8</v>
      </c>
      <c r="R23" s="67">
        <v>113</v>
      </c>
      <c r="S23" s="70">
        <v>135.6</v>
      </c>
      <c r="T23" s="98" t="s">
        <v>156</v>
      </c>
    </row>
    <row r="24" spans="2:20" ht="13.5" thickBot="1">
      <c r="B24" s="62"/>
      <c r="C24" s="52"/>
      <c r="D24" s="63" t="s">
        <v>98</v>
      </c>
      <c r="E24" s="62">
        <v>6379</v>
      </c>
      <c r="F24" s="66">
        <v>1972</v>
      </c>
      <c r="G24" s="66">
        <v>1595</v>
      </c>
      <c r="H24" s="66">
        <v>188</v>
      </c>
      <c r="I24" s="66">
        <v>2445</v>
      </c>
      <c r="J24" s="66">
        <v>2548</v>
      </c>
      <c r="K24" s="52">
        <v>48320</v>
      </c>
      <c r="L24" s="52">
        <v>1275.8</v>
      </c>
      <c r="M24" s="52">
        <v>394.4</v>
      </c>
      <c r="N24" s="52">
        <v>319</v>
      </c>
      <c r="O24" s="52">
        <v>37.6</v>
      </c>
      <c r="P24" s="52">
        <v>489</v>
      </c>
      <c r="Q24" s="52">
        <v>510</v>
      </c>
      <c r="R24" s="52">
        <v>9664</v>
      </c>
      <c r="S24" s="71">
        <v>11596.8</v>
      </c>
      <c r="T24" s="125"/>
    </row>
    <row r="25" spans="2:19" ht="12.75">
      <c r="B25" s="62"/>
      <c r="C25" s="52"/>
      <c r="D25" s="63"/>
      <c r="E25" s="6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63"/>
    </row>
    <row r="26" spans="2:19" ht="13.5" thickBot="1">
      <c r="B26" s="53"/>
      <c r="C26" s="54"/>
      <c r="D26" s="56"/>
      <c r="E26" s="53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6"/>
    </row>
  </sheetData>
  <mergeCells count="3">
    <mergeCell ref="E3:K3"/>
    <mergeCell ref="L3:S3"/>
    <mergeCell ref="A1:O1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"/>
  <sheetViews>
    <sheetView workbookViewId="0" topLeftCell="A1">
      <selection activeCell="C17" sqref="C17"/>
    </sheetView>
  </sheetViews>
  <sheetFormatPr defaultColWidth="9.00390625" defaultRowHeight="12.75"/>
  <cols>
    <col min="1" max="1" width="5.875" style="0" customWidth="1"/>
    <col min="2" max="2" width="11.125" style="0" bestFit="1" customWidth="1"/>
    <col min="10" max="10" width="12.00390625" style="0" customWidth="1"/>
    <col min="12" max="12" width="11.375" style="0" customWidth="1"/>
    <col min="17" max="17" width="10.875" style="0" customWidth="1"/>
    <col min="18" max="18" width="10.75390625" style="0" customWidth="1"/>
    <col min="20" max="20" width="11.125" style="0" customWidth="1"/>
    <col min="21" max="21" width="10.75390625" style="0" customWidth="1"/>
    <col min="257" max="257" width="5.875" style="0" customWidth="1"/>
    <col min="258" max="258" width="10.00390625" style="0" bestFit="1" customWidth="1"/>
    <col min="266" max="266" width="12.00390625" style="0" customWidth="1"/>
    <col min="268" max="268" width="11.375" style="0" customWidth="1"/>
    <col min="273" max="273" width="10.875" style="0" customWidth="1"/>
    <col min="274" max="274" width="10.75390625" style="0" customWidth="1"/>
    <col min="276" max="276" width="11.125" style="0" customWidth="1"/>
    <col min="277" max="277" width="10.75390625" style="0" customWidth="1"/>
    <col min="513" max="513" width="5.875" style="0" customWidth="1"/>
    <col min="514" max="514" width="10.00390625" style="0" bestFit="1" customWidth="1"/>
    <col min="522" max="522" width="12.00390625" style="0" customWidth="1"/>
    <col min="524" max="524" width="11.375" style="0" customWidth="1"/>
    <col min="529" max="529" width="10.875" style="0" customWidth="1"/>
    <col min="530" max="530" width="10.75390625" style="0" customWidth="1"/>
    <col min="532" max="532" width="11.125" style="0" customWidth="1"/>
    <col min="533" max="533" width="10.75390625" style="0" customWidth="1"/>
    <col min="769" max="769" width="5.875" style="0" customWidth="1"/>
    <col min="770" max="770" width="10.00390625" style="0" bestFit="1" customWidth="1"/>
    <col min="778" max="778" width="12.00390625" style="0" customWidth="1"/>
    <col min="780" max="780" width="11.375" style="0" customWidth="1"/>
    <col min="785" max="785" width="10.875" style="0" customWidth="1"/>
    <col min="786" max="786" width="10.75390625" style="0" customWidth="1"/>
    <col min="788" max="788" width="11.125" style="0" customWidth="1"/>
    <col min="789" max="789" width="10.75390625" style="0" customWidth="1"/>
    <col min="1025" max="1025" width="5.875" style="0" customWidth="1"/>
    <col min="1026" max="1026" width="10.00390625" style="0" bestFit="1" customWidth="1"/>
    <col min="1034" max="1034" width="12.00390625" style="0" customWidth="1"/>
    <col min="1036" max="1036" width="11.375" style="0" customWidth="1"/>
    <col min="1041" max="1041" width="10.875" style="0" customWidth="1"/>
    <col min="1042" max="1042" width="10.75390625" style="0" customWidth="1"/>
    <col min="1044" max="1044" width="11.125" style="0" customWidth="1"/>
    <col min="1045" max="1045" width="10.75390625" style="0" customWidth="1"/>
    <col min="1281" max="1281" width="5.875" style="0" customWidth="1"/>
    <col min="1282" max="1282" width="10.00390625" style="0" bestFit="1" customWidth="1"/>
    <col min="1290" max="1290" width="12.00390625" style="0" customWidth="1"/>
    <col min="1292" max="1292" width="11.375" style="0" customWidth="1"/>
    <col min="1297" max="1297" width="10.875" style="0" customWidth="1"/>
    <col min="1298" max="1298" width="10.75390625" style="0" customWidth="1"/>
    <col min="1300" max="1300" width="11.125" style="0" customWidth="1"/>
    <col min="1301" max="1301" width="10.75390625" style="0" customWidth="1"/>
    <col min="1537" max="1537" width="5.875" style="0" customWidth="1"/>
    <col min="1538" max="1538" width="10.00390625" style="0" bestFit="1" customWidth="1"/>
    <col min="1546" max="1546" width="12.00390625" style="0" customWidth="1"/>
    <col min="1548" max="1548" width="11.375" style="0" customWidth="1"/>
    <col min="1553" max="1553" width="10.875" style="0" customWidth="1"/>
    <col min="1554" max="1554" width="10.75390625" style="0" customWidth="1"/>
    <col min="1556" max="1556" width="11.125" style="0" customWidth="1"/>
    <col min="1557" max="1557" width="10.75390625" style="0" customWidth="1"/>
    <col min="1793" max="1793" width="5.875" style="0" customWidth="1"/>
    <col min="1794" max="1794" width="10.00390625" style="0" bestFit="1" customWidth="1"/>
    <col min="1802" max="1802" width="12.00390625" style="0" customWidth="1"/>
    <col min="1804" max="1804" width="11.375" style="0" customWidth="1"/>
    <col min="1809" max="1809" width="10.875" style="0" customWidth="1"/>
    <col min="1810" max="1810" width="10.75390625" style="0" customWidth="1"/>
    <col min="1812" max="1812" width="11.125" style="0" customWidth="1"/>
    <col min="1813" max="1813" width="10.75390625" style="0" customWidth="1"/>
    <col min="2049" max="2049" width="5.875" style="0" customWidth="1"/>
    <col min="2050" max="2050" width="10.00390625" style="0" bestFit="1" customWidth="1"/>
    <col min="2058" max="2058" width="12.00390625" style="0" customWidth="1"/>
    <col min="2060" max="2060" width="11.375" style="0" customWidth="1"/>
    <col min="2065" max="2065" width="10.875" style="0" customWidth="1"/>
    <col min="2066" max="2066" width="10.75390625" style="0" customWidth="1"/>
    <col min="2068" max="2068" width="11.125" style="0" customWidth="1"/>
    <col min="2069" max="2069" width="10.75390625" style="0" customWidth="1"/>
    <col min="2305" max="2305" width="5.875" style="0" customWidth="1"/>
    <col min="2306" max="2306" width="10.00390625" style="0" bestFit="1" customWidth="1"/>
    <col min="2314" max="2314" width="12.00390625" style="0" customWidth="1"/>
    <col min="2316" max="2316" width="11.375" style="0" customWidth="1"/>
    <col min="2321" max="2321" width="10.875" style="0" customWidth="1"/>
    <col min="2322" max="2322" width="10.75390625" style="0" customWidth="1"/>
    <col min="2324" max="2324" width="11.125" style="0" customWidth="1"/>
    <col min="2325" max="2325" width="10.75390625" style="0" customWidth="1"/>
    <col min="2561" max="2561" width="5.875" style="0" customWidth="1"/>
    <col min="2562" max="2562" width="10.00390625" style="0" bestFit="1" customWidth="1"/>
    <col min="2570" max="2570" width="12.00390625" style="0" customWidth="1"/>
    <col min="2572" max="2572" width="11.375" style="0" customWidth="1"/>
    <col min="2577" max="2577" width="10.875" style="0" customWidth="1"/>
    <col min="2578" max="2578" width="10.75390625" style="0" customWidth="1"/>
    <col min="2580" max="2580" width="11.125" style="0" customWidth="1"/>
    <col min="2581" max="2581" width="10.75390625" style="0" customWidth="1"/>
    <col min="2817" max="2817" width="5.875" style="0" customWidth="1"/>
    <col min="2818" max="2818" width="10.00390625" style="0" bestFit="1" customWidth="1"/>
    <col min="2826" max="2826" width="12.00390625" style="0" customWidth="1"/>
    <col min="2828" max="2828" width="11.375" style="0" customWidth="1"/>
    <col min="2833" max="2833" width="10.875" style="0" customWidth="1"/>
    <col min="2834" max="2834" width="10.75390625" style="0" customWidth="1"/>
    <col min="2836" max="2836" width="11.125" style="0" customWidth="1"/>
    <col min="2837" max="2837" width="10.75390625" style="0" customWidth="1"/>
    <col min="3073" max="3073" width="5.875" style="0" customWidth="1"/>
    <col min="3074" max="3074" width="10.00390625" style="0" bestFit="1" customWidth="1"/>
    <col min="3082" max="3082" width="12.00390625" style="0" customWidth="1"/>
    <col min="3084" max="3084" width="11.375" style="0" customWidth="1"/>
    <col min="3089" max="3089" width="10.875" style="0" customWidth="1"/>
    <col min="3090" max="3090" width="10.75390625" style="0" customWidth="1"/>
    <col min="3092" max="3092" width="11.125" style="0" customWidth="1"/>
    <col min="3093" max="3093" width="10.75390625" style="0" customWidth="1"/>
    <col min="3329" max="3329" width="5.875" style="0" customWidth="1"/>
    <col min="3330" max="3330" width="10.00390625" style="0" bestFit="1" customWidth="1"/>
    <col min="3338" max="3338" width="12.00390625" style="0" customWidth="1"/>
    <col min="3340" max="3340" width="11.375" style="0" customWidth="1"/>
    <col min="3345" max="3345" width="10.875" style="0" customWidth="1"/>
    <col min="3346" max="3346" width="10.75390625" style="0" customWidth="1"/>
    <col min="3348" max="3348" width="11.125" style="0" customWidth="1"/>
    <col min="3349" max="3349" width="10.75390625" style="0" customWidth="1"/>
    <col min="3585" max="3585" width="5.875" style="0" customWidth="1"/>
    <col min="3586" max="3586" width="10.00390625" style="0" bestFit="1" customWidth="1"/>
    <col min="3594" max="3594" width="12.00390625" style="0" customWidth="1"/>
    <col min="3596" max="3596" width="11.375" style="0" customWidth="1"/>
    <col min="3601" max="3601" width="10.875" style="0" customWidth="1"/>
    <col min="3602" max="3602" width="10.75390625" style="0" customWidth="1"/>
    <col min="3604" max="3604" width="11.125" style="0" customWidth="1"/>
    <col min="3605" max="3605" width="10.75390625" style="0" customWidth="1"/>
    <col min="3841" max="3841" width="5.875" style="0" customWidth="1"/>
    <col min="3842" max="3842" width="10.00390625" style="0" bestFit="1" customWidth="1"/>
    <col min="3850" max="3850" width="12.00390625" style="0" customWidth="1"/>
    <col min="3852" max="3852" width="11.375" style="0" customWidth="1"/>
    <col min="3857" max="3857" width="10.875" style="0" customWidth="1"/>
    <col min="3858" max="3858" width="10.75390625" style="0" customWidth="1"/>
    <col min="3860" max="3860" width="11.125" style="0" customWidth="1"/>
    <col min="3861" max="3861" width="10.75390625" style="0" customWidth="1"/>
    <col min="4097" max="4097" width="5.875" style="0" customWidth="1"/>
    <col min="4098" max="4098" width="10.00390625" style="0" bestFit="1" customWidth="1"/>
    <col min="4106" max="4106" width="12.00390625" style="0" customWidth="1"/>
    <col min="4108" max="4108" width="11.375" style="0" customWidth="1"/>
    <col min="4113" max="4113" width="10.875" style="0" customWidth="1"/>
    <col min="4114" max="4114" width="10.75390625" style="0" customWidth="1"/>
    <col min="4116" max="4116" width="11.125" style="0" customWidth="1"/>
    <col min="4117" max="4117" width="10.75390625" style="0" customWidth="1"/>
    <col min="4353" max="4353" width="5.875" style="0" customWidth="1"/>
    <col min="4354" max="4354" width="10.00390625" style="0" bestFit="1" customWidth="1"/>
    <col min="4362" max="4362" width="12.00390625" style="0" customWidth="1"/>
    <col min="4364" max="4364" width="11.375" style="0" customWidth="1"/>
    <col min="4369" max="4369" width="10.875" style="0" customWidth="1"/>
    <col min="4370" max="4370" width="10.75390625" style="0" customWidth="1"/>
    <col min="4372" max="4372" width="11.125" style="0" customWidth="1"/>
    <col min="4373" max="4373" width="10.75390625" style="0" customWidth="1"/>
    <col min="4609" max="4609" width="5.875" style="0" customWidth="1"/>
    <col min="4610" max="4610" width="10.00390625" style="0" bestFit="1" customWidth="1"/>
    <col min="4618" max="4618" width="12.00390625" style="0" customWidth="1"/>
    <col min="4620" max="4620" width="11.375" style="0" customWidth="1"/>
    <col min="4625" max="4625" width="10.875" style="0" customWidth="1"/>
    <col min="4626" max="4626" width="10.75390625" style="0" customWidth="1"/>
    <col min="4628" max="4628" width="11.125" style="0" customWidth="1"/>
    <col min="4629" max="4629" width="10.75390625" style="0" customWidth="1"/>
    <col min="4865" max="4865" width="5.875" style="0" customWidth="1"/>
    <col min="4866" max="4866" width="10.00390625" style="0" bestFit="1" customWidth="1"/>
    <col min="4874" max="4874" width="12.00390625" style="0" customWidth="1"/>
    <col min="4876" max="4876" width="11.375" style="0" customWidth="1"/>
    <col min="4881" max="4881" width="10.875" style="0" customWidth="1"/>
    <col min="4882" max="4882" width="10.75390625" style="0" customWidth="1"/>
    <col min="4884" max="4884" width="11.125" style="0" customWidth="1"/>
    <col min="4885" max="4885" width="10.75390625" style="0" customWidth="1"/>
    <col min="5121" max="5121" width="5.875" style="0" customWidth="1"/>
    <col min="5122" max="5122" width="10.00390625" style="0" bestFit="1" customWidth="1"/>
    <col min="5130" max="5130" width="12.00390625" style="0" customWidth="1"/>
    <col min="5132" max="5132" width="11.375" style="0" customWidth="1"/>
    <col min="5137" max="5137" width="10.875" style="0" customWidth="1"/>
    <col min="5138" max="5138" width="10.75390625" style="0" customWidth="1"/>
    <col min="5140" max="5140" width="11.125" style="0" customWidth="1"/>
    <col min="5141" max="5141" width="10.75390625" style="0" customWidth="1"/>
    <col min="5377" max="5377" width="5.875" style="0" customWidth="1"/>
    <col min="5378" max="5378" width="10.00390625" style="0" bestFit="1" customWidth="1"/>
    <col min="5386" max="5386" width="12.00390625" style="0" customWidth="1"/>
    <col min="5388" max="5388" width="11.375" style="0" customWidth="1"/>
    <col min="5393" max="5393" width="10.875" style="0" customWidth="1"/>
    <col min="5394" max="5394" width="10.75390625" style="0" customWidth="1"/>
    <col min="5396" max="5396" width="11.125" style="0" customWidth="1"/>
    <col min="5397" max="5397" width="10.75390625" style="0" customWidth="1"/>
    <col min="5633" max="5633" width="5.875" style="0" customWidth="1"/>
    <col min="5634" max="5634" width="10.00390625" style="0" bestFit="1" customWidth="1"/>
    <col min="5642" max="5642" width="12.00390625" style="0" customWidth="1"/>
    <col min="5644" max="5644" width="11.375" style="0" customWidth="1"/>
    <col min="5649" max="5649" width="10.875" style="0" customWidth="1"/>
    <col min="5650" max="5650" width="10.75390625" style="0" customWidth="1"/>
    <col min="5652" max="5652" width="11.125" style="0" customWidth="1"/>
    <col min="5653" max="5653" width="10.75390625" style="0" customWidth="1"/>
    <col min="5889" max="5889" width="5.875" style="0" customWidth="1"/>
    <col min="5890" max="5890" width="10.00390625" style="0" bestFit="1" customWidth="1"/>
    <col min="5898" max="5898" width="12.00390625" style="0" customWidth="1"/>
    <col min="5900" max="5900" width="11.375" style="0" customWidth="1"/>
    <col min="5905" max="5905" width="10.875" style="0" customWidth="1"/>
    <col min="5906" max="5906" width="10.75390625" style="0" customWidth="1"/>
    <col min="5908" max="5908" width="11.125" style="0" customWidth="1"/>
    <col min="5909" max="5909" width="10.75390625" style="0" customWidth="1"/>
    <col min="6145" max="6145" width="5.875" style="0" customWidth="1"/>
    <col min="6146" max="6146" width="10.00390625" style="0" bestFit="1" customWidth="1"/>
    <col min="6154" max="6154" width="12.00390625" style="0" customWidth="1"/>
    <col min="6156" max="6156" width="11.375" style="0" customWidth="1"/>
    <col min="6161" max="6161" width="10.875" style="0" customWidth="1"/>
    <col min="6162" max="6162" width="10.75390625" style="0" customWidth="1"/>
    <col min="6164" max="6164" width="11.125" style="0" customWidth="1"/>
    <col min="6165" max="6165" width="10.75390625" style="0" customWidth="1"/>
    <col min="6401" max="6401" width="5.875" style="0" customWidth="1"/>
    <col min="6402" max="6402" width="10.00390625" style="0" bestFit="1" customWidth="1"/>
    <col min="6410" max="6410" width="12.00390625" style="0" customWidth="1"/>
    <col min="6412" max="6412" width="11.375" style="0" customWidth="1"/>
    <col min="6417" max="6417" width="10.875" style="0" customWidth="1"/>
    <col min="6418" max="6418" width="10.75390625" style="0" customWidth="1"/>
    <col min="6420" max="6420" width="11.125" style="0" customWidth="1"/>
    <col min="6421" max="6421" width="10.75390625" style="0" customWidth="1"/>
    <col min="6657" max="6657" width="5.875" style="0" customWidth="1"/>
    <col min="6658" max="6658" width="10.00390625" style="0" bestFit="1" customWidth="1"/>
    <col min="6666" max="6666" width="12.00390625" style="0" customWidth="1"/>
    <col min="6668" max="6668" width="11.375" style="0" customWidth="1"/>
    <col min="6673" max="6673" width="10.875" style="0" customWidth="1"/>
    <col min="6674" max="6674" width="10.75390625" style="0" customWidth="1"/>
    <col min="6676" max="6676" width="11.125" style="0" customWidth="1"/>
    <col min="6677" max="6677" width="10.75390625" style="0" customWidth="1"/>
    <col min="6913" max="6913" width="5.875" style="0" customWidth="1"/>
    <col min="6914" max="6914" width="10.00390625" style="0" bestFit="1" customWidth="1"/>
    <col min="6922" max="6922" width="12.00390625" style="0" customWidth="1"/>
    <col min="6924" max="6924" width="11.375" style="0" customWidth="1"/>
    <col min="6929" max="6929" width="10.875" style="0" customWidth="1"/>
    <col min="6930" max="6930" width="10.75390625" style="0" customWidth="1"/>
    <col min="6932" max="6932" width="11.125" style="0" customWidth="1"/>
    <col min="6933" max="6933" width="10.75390625" style="0" customWidth="1"/>
    <col min="7169" max="7169" width="5.875" style="0" customWidth="1"/>
    <col min="7170" max="7170" width="10.00390625" style="0" bestFit="1" customWidth="1"/>
    <col min="7178" max="7178" width="12.00390625" style="0" customWidth="1"/>
    <col min="7180" max="7180" width="11.375" style="0" customWidth="1"/>
    <col min="7185" max="7185" width="10.875" style="0" customWidth="1"/>
    <col min="7186" max="7186" width="10.75390625" style="0" customWidth="1"/>
    <col min="7188" max="7188" width="11.125" style="0" customWidth="1"/>
    <col min="7189" max="7189" width="10.75390625" style="0" customWidth="1"/>
    <col min="7425" max="7425" width="5.875" style="0" customWidth="1"/>
    <col min="7426" max="7426" width="10.00390625" style="0" bestFit="1" customWidth="1"/>
    <col min="7434" max="7434" width="12.00390625" style="0" customWidth="1"/>
    <col min="7436" max="7436" width="11.375" style="0" customWidth="1"/>
    <col min="7441" max="7441" width="10.875" style="0" customWidth="1"/>
    <col min="7442" max="7442" width="10.75390625" style="0" customWidth="1"/>
    <col min="7444" max="7444" width="11.125" style="0" customWidth="1"/>
    <col min="7445" max="7445" width="10.75390625" style="0" customWidth="1"/>
    <col min="7681" max="7681" width="5.875" style="0" customWidth="1"/>
    <col min="7682" max="7682" width="10.00390625" style="0" bestFit="1" customWidth="1"/>
    <col min="7690" max="7690" width="12.00390625" style="0" customWidth="1"/>
    <col min="7692" max="7692" width="11.375" style="0" customWidth="1"/>
    <col min="7697" max="7697" width="10.875" style="0" customWidth="1"/>
    <col min="7698" max="7698" width="10.75390625" style="0" customWidth="1"/>
    <col min="7700" max="7700" width="11.125" style="0" customWidth="1"/>
    <col min="7701" max="7701" width="10.75390625" style="0" customWidth="1"/>
    <col min="7937" max="7937" width="5.875" style="0" customWidth="1"/>
    <col min="7938" max="7938" width="10.00390625" style="0" bestFit="1" customWidth="1"/>
    <col min="7946" max="7946" width="12.00390625" style="0" customWidth="1"/>
    <col min="7948" max="7948" width="11.375" style="0" customWidth="1"/>
    <col min="7953" max="7953" width="10.875" style="0" customWidth="1"/>
    <col min="7954" max="7954" width="10.75390625" style="0" customWidth="1"/>
    <col min="7956" max="7956" width="11.125" style="0" customWidth="1"/>
    <col min="7957" max="7957" width="10.75390625" style="0" customWidth="1"/>
    <col min="8193" max="8193" width="5.875" style="0" customWidth="1"/>
    <col min="8194" max="8194" width="10.00390625" style="0" bestFit="1" customWidth="1"/>
    <col min="8202" max="8202" width="12.00390625" style="0" customWidth="1"/>
    <col min="8204" max="8204" width="11.375" style="0" customWidth="1"/>
    <col min="8209" max="8209" width="10.875" style="0" customWidth="1"/>
    <col min="8210" max="8210" width="10.75390625" style="0" customWidth="1"/>
    <col min="8212" max="8212" width="11.125" style="0" customWidth="1"/>
    <col min="8213" max="8213" width="10.75390625" style="0" customWidth="1"/>
    <col min="8449" max="8449" width="5.875" style="0" customWidth="1"/>
    <col min="8450" max="8450" width="10.00390625" style="0" bestFit="1" customWidth="1"/>
    <col min="8458" max="8458" width="12.00390625" style="0" customWidth="1"/>
    <col min="8460" max="8460" width="11.375" style="0" customWidth="1"/>
    <col min="8465" max="8465" width="10.875" style="0" customWidth="1"/>
    <col min="8466" max="8466" width="10.75390625" style="0" customWidth="1"/>
    <col min="8468" max="8468" width="11.125" style="0" customWidth="1"/>
    <col min="8469" max="8469" width="10.75390625" style="0" customWidth="1"/>
    <col min="8705" max="8705" width="5.875" style="0" customWidth="1"/>
    <col min="8706" max="8706" width="10.00390625" style="0" bestFit="1" customWidth="1"/>
    <col min="8714" max="8714" width="12.00390625" style="0" customWidth="1"/>
    <col min="8716" max="8716" width="11.375" style="0" customWidth="1"/>
    <col min="8721" max="8721" width="10.875" style="0" customWidth="1"/>
    <col min="8722" max="8722" width="10.75390625" style="0" customWidth="1"/>
    <col min="8724" max="8724" width="11.125" style="0" customWidth="1"/>
    <col min="8725" max="8725" width="10.75390625" style="0" customWidth="1"/>
    <col min="8961" max="8961" width="5.875" style="0" customWidth="1"/>
    <col min="8962" max="8962" width="10.00390625" style="0" bestFit="1" customWidth="1"/>
    <col min="8970" max="8970" width="12.00390625" style="0" customWidth="1"/>
    <col min="8972" max="8972" width="11.375" style="0" customWidth="1"/>
    <col min="8977" max="8977" width="10.875" style="0" customWidth="1"/>
    <col min="8978" max="8978" width="10.75390625" style="0" customWidth="1"/>
    <col min="8980" max="8980" width="11.125" style="0" customWidth="1"/>
    <col min="8981" max="8981" width="10.75390625" style="0" customWidth="1"/>
    <col min="9217" max="9217" width="5.875" style="0" customWidth="1"/>
    <col min="9218" max="9218" width="10.00390625" style="0" bestFit="1" customWidth="1"/>
    <col min="9226" max="9226" width="12.00390625" style="0" customWidth="1"/>
    <col min="9228" max="9228" width="11.375" style="0" customWidth="1"/>
    <col min="9233" max="9233" width="10.875" style="0" customWidth="1"/>
    <col min="9234" max="9234" width="10.75390625" style="0" customWidth="1"/>
    <col min="9236" max="9236" width="11.125" style="0" customWidth="1"/>
    <col min="9237" max="9237" width="10.75390625" style="0" customWidth="1"/>
    <col min="9473" max="9473" width="5.875" style="0" customWidth="1"/>
    <col min="9474" max="9474" width="10.00390625" style="0" bestFit="1" customWidth="1"/>
    <col min="9482" max="9482" width="12.00390625" style="0" customWidth="1"/>
    <col min="9484" max="9484" width="11.375" style="0" customWidth="1"/>
    <col min="9489" max="9489" width="10.875" style="0" customWidth="1"/>
    <col min="9490" max="9490" width="10.75390625" style="0" customWidth="1"/>
    <col min="9492" max="9492" width="11.125" style="0" customWidth="1"/>
    <col min="9493" max="9493" width="10.75390625" style="0" customWidth="1"/>
    <col min="9729" max="9729" width="5.875" style="0" customWidth="1"/>
    <col min="9730" max="9730" width="10.00390625" style="0" bestFit="1" customWidth="1"/>
    <col min="9738" max="9738" width="12.00390625" style="0" customWidth="1"/>
    <col min="9740" max="9740" width="11.375" style="0" customWidth="1"/>
    <col min="9745" max="9745" width="10.875" style="0" customWidth="1"/>
    <col min="9746" max="9746" width="10.75390625" style="0" customWidth="1"/>
    <col min="9748" max="9748" width="11.125" style="0" customWidth="1"/>
    <col min="9749" max="9749" width="10.75390625" style="0" customWidth="1"/>
    <col min="9985" max="9985" width="5.875" style="0" customWidth="1"/>
    <col min="9986" max="9986" width="10.00390625" style="0" bestFit="1" customWidth="1"/>
    <col min="9994" max="9994" width="12.00390625" style="0" customWidth="1"/>
    <col min="9996" max="9996" width="11.375" style="0" customWidth="1"/>
    <col min="10001" max="10001" width="10.875" style="0" customWidth="1"/>
    <col min="10002" max="10002" width="10.75390625" style="0" customWidth="1"/>
    <col min="10004" max="10004" width="11.125" style="0" customWidth="1"/>
    <col min="10005" max="10005" width="10.75390625" style="0" customWidth="1"/>
    <col min="10241" max="10241" width="5.875" style="0" customWidth="1"/>
    <col min="10242" max="10242" width="10.00390625" style="0" bestFit="1" customWidth="1"/>
    <col min="10250" max="10250" width="12.00390625" style="0" customWidth="1"/>
    <col min="10252" max="10252" width="11.375" style="0" customWidth="1"/>
    <col min="10257" max="10257" width="10.875" style="0" customWidth="1"/>
    <col min="10258" max="10258" width="10.75390625" style="0" customWidth="1"/>
    <col min="10260" max="10260" width="11.125" style="0" customWidth="1"/>
    <col min="10261" max="10261" width="10.75390625" style="0" customWidth="1"/>
    <col min="10497" max="10497" width="5.875" style="0" customWidth="1"/>
    <col min="10498" max="10498" width="10.00390625" style="0" bestFit="1" customWidth="1"/>
    <col min="10506" max="10506" width="12.00390625" style="0" customWidth="1"/>
    <col min="10508" max="10508" width="11.375" style="0" customWidth="1"/>
    <col min="10513" max="10513" width="10.875" style="0" customWidth="1"/>
    <col min="10514" max="10514" width="10.75390625" style="0" customWidth="1"/>
    <col min="10516" max="10516" width="11.125" style="0" customWidth="1"/>
    <col min="10517" max="10517" width="10.75390625" style="0" customWidth="1"/>
    <col min="10753" max="10753" width="5.875" style="0" customWidth="1"/>
    <col min="10754" max="10754" width="10.00390625" style="0" bestFit="1" customWidth="1"/>
    <col min="10762" max="10762" width="12.00390625" style="0" customWidth="1"/>
    <col min="10764" max="10764" width="11.375" style="0" customWidth="1"/>
    <col min="10769" max="10769" width="10.875" style="0" customWidth="1"/>
    <col min="10770" max="10770" width="10.75390625" style="0" customWidth="1"/>
    <col min="10772" max="10772" width="11.125" style="0" customWidth="1"/>
    <col min="10773" max="10773" width="10.75390625" style="0" customWidth="1"/>
    <col min="11009" max="11009" width="5.875" style="0" customWidth="1"/>
    <col min="11010" max="11010" width="10.00390625" style="0" bestFit="1" customWidth="1"/>
    <col min="11018" max="11018" width="12.00390625" style="0" customWidth="1"/>
    <col min="11020" max="11020" width="11.375" style="0" customWidth="1"/>
    <col min="11025" max="11025" width="10.875" style="0" customWidth="1"/>
    <col min="11026" max="11026" width="10.75390625" style="0" customWidth="1"/>
    <col min="11028" max="11028" width="11.125" style="0" customWidth="1"/>
    <col min="11029" max="11029" width="10.75390625" style="0" customWidth="1"/>
    <col min="11265" max="11265" width="5.875" style="0" customWidth="1"/>
    <col min="11266" max="11266" width="10.00390625" style="0" bestFit="1" customWidth="1"/>
    <col min="11274" max="11274" width="12.00390625" style="0" customWidth="1"/>
    <col min="11276" max="11276" width="11.375" style="0" customWidth="1"/>
    <col min="11281" max="11281" width="10.875" style="0" customWidth="1"/>
    <col min="11282" max="11282" width="10.75390625" style="0" customWidth="1"/>
    <col min="11284" max="11284" width="11.125" style="0" customWidth="1"/>
    <col min="11285" max="11285" width="10.75390625" style="0" customWidth="1"/>
    <col min="11521" max="11521" width="5.875" style="0" customWidth="1"/>
    <col min="11522" max="11522" width="10.00390625" style="0" bestFit="1" customWidth="1"/>
    <col min="11530" max="11530" width="12.00390625" style="0" customWidth="1"/>
    <col min="11532" max="11532" width="11.375" style="0" customWidth="1"/>
    <col min="11537" max="11537" width="10.875" style="0" customWidth="1"/>
    <col min="11538" max="11538" width="10.75390625" style="0" customWidth="1"/>
    <col min="11540" max="11540" width="11.125" style="0" customWidth="1"/>
    <col min="11541" max="11541" width="10.75390625" style="0" customWidth="1"/>
    <col min="11777" max="11777" width="5.875" style="0" customWidth="1"/>
    <col min="11778" max="11778" width="10.00390625" style="0" bestFit="1" customWidth="1"/>
    <col min="11786" max="11786" width="12.00390625" style="0" customWidth="1"/>
    <col min="11788" max="11788" width="11.375" style="0" customWidth="1"/>
    <col min="11793" max="11793" width="10.875" style="0" customWidth="1"/>
    <col min="11794" max="11794" width="10.75390625" style="0" customWidth="1"/>
    <col min="11796" max="11796" width="11.125" style="0" customWidth="1"/>
    <col min="11797" max="11797" width="10.75390625" style="0" customWidth="1"/>
    <col min="12033" max="12033" width="5.875" style="0" customWidth="1"/>
    <col min="12034" max="12034" width="10.00390625" style="0" bestFit="1" customWidth="1"/>
    <col min="12042" max="12042" width="12.00390625" style="0" customWidth="1"/>
    <col min="12044" max="12044" width="11.375" style="0" customWidth="1"/>
    <col min="12049" max="12049" width="10.875" style="0" customWidth="1"/>
    <col min="12050" max="12050" width="10.75390625" style="0" customWidth="1"/>
    <col min="12052" max="12052" width="11.125" style="0" customWidth="1"/>
    <col min="12053" max="12053" width="10.75390625" style="0" customWidth="1"/>
    <col min="12289" max="12289" width="5.875" style="0" customWidth="1"/>
    <col min="12290" max="12290" width="10.00390625" style="0" bestFit="1" customWidth="1"/>
    <col min="12298" max="12298" width="12.00390625" style="0" customWidth="1"/>
    <col min="12300" max="12300" width="11.375" style="0" customWidth="1"/>
    <col min="12305" max="12305" width="10.875" style="0" customWidth="1"/>
    <col min="12306" max="12306" width="10.75390625" style="0" customWidth="1"/>
    <col min="12308" max="12308" width="11.125" style="0" customWidth="1"/>
    <col min="12309" max="12309" width="10.75390625" style="0" customWidth="1"/>
    <col min="12545" max="12545" width="5.875" style="0" customWidth="1"/>
    <col min="12546" max="12546" width="10.00390625" style="0" bestFit="1" customWidth="1"/>
    <col min="12554" max="12554" width="12.00390625" style="0" customWidth="1"/>
    <col min="12556" max="12556" width="11.375" style="0" customWidth="1"/>
    <col min="12561" max="12561" width="10.875" style="0" customWidth="1"/>
    <col min="12562" max="12562" width="10.75390625" style="0" customWidth="1"/>
    <col min="12564" max="12564" width="11.125" style="0" customWidth="1"/>
    <col min="12565" max="12565" width="10.75390625" style="0" customWidth="1"/>
    <col min="12801" max="12801" width="5.875" style="0" customWidth="1"/>
    <col min="12802" max="12802" width="10.00390625" style="0" bestFit="1" customWidth="1"/>
    <col min="12810" max="12810" width="12.00390625" style="0" customWidth="1"/>
    <col min="12812" max="12812" width="11.375" style="0" customWidth="1"/>
    <col min="12817" max="12817" width="10.875" style="0" customWidth="1"/>
    <col min="12818" max="12818" width="10.75390625" style="0" customWidth="1"/>
    <col min="12820" max="12820" width="11.125" style="0" customWidth="1"/>
    <col min="12821" max="12821" width="10.75390625" style="0" customWidth="1"/>
    <col min="13057" max="13057" width="5.875" style="0" customWidth="1"/>
    <col min="13058" max="13058" width="10.00390625" style="0" bestFit="1" customWidth="1"/>
    <col min="13066" max="13066" width="12.00390625" style="0" customWidth="1"/>
    <col min="13068" max="13068" width="11.375" style="0" customWidth="1"/>
    <col min="13073" max="13073" width="10.875" style="0" customWidth="1"/>
    <col min="13074" max="13074" width="10.75390625" style="0" customWidth="1"/>
    <col min="13076" max="13076" width="11.125" style="0" customWidth="1"/>
    <col min="13077" max="13077" width="10.75390625" style="0" customWidth="1"/>
    <col min="13313" max="13313" width="5.875" style="0" customWidth="1"/>
    <col min="13314" max="13314" width="10.00390625" style="0" bestFit="1" customWidth="1"/>
    <col min="13322" max="13322" width="12.00390625" style="0" customWidth="1"/>
    <col min="13324" max="13324" width="11.375" style="0" customWidth="1"/>
    <col min="13329" max="13329" width="10.875" style="0" customWidth="1"/>
    <col min="13330" max="13330" width="10.75390625" style="0" customWidth="1"/>
    <col min="13332" max="13332" width="11.125" style="0" customWidth="1"/>
    <col min="13333" max="13333" width="10.75390625" style="0" customWidth="1"/>
    <col min="13569" max="13569" width="5.875" style="0" customWidth="1"/>
    <col min="13570" max="13570" width="10.00390625" style="0" bestFit="1" customWidth="1"/>
    <col min="13578" max="13578" width="12.00390625" style="0" customWidth="1"/>
    <col min="13580" max="13580" width="11.375" style="0" customWidth="1"/>
    <col min="13585" max="13585" width="10.875" style="0" customWidth="1"/>
    <col min="13586" max="13586" width="10.75390625" style="0" customWidth="1"/>
    <col min="13588" max="13588" width="11.125" style="0" customWidth="1"/>
    <col min="13589" max="13589" width="10.75390625" style="0" customWidth="1"/>
    <col min="13825" max="13825" width="5.875" style="0" customWidth="1"/>
    <col min="13826" max="13826" width="10.00390625" style="0" bestFit="1" customWidth="1"/>
    <col min="13834" max="13834" width="12.00390625" style="0" customWidth="1"/>
    <col min="13836" max="13836" width="11.375" style="0" customWidth="1"/>
    <col min="13841" max="13841" width="10.875" style="0" customWidth="1"/>
    <col min="13842" max="13842" width="10.75390625" style="0" customWidth="1"/>
    <col min="13844" max="13844" width="11.125" style="0" customWidth="1"/>
    <col min="13845" max="13845" width="10.75390625" style="0" customWidth="1"/>
    <col min="14081" max="14081" width="5.875" style="0" customWidth="1"/>
    <col min="14082" max="14082" width="10.00390625" style="0" bestFit="1" customWidth="1"/>
    <col min="14090" max="14090" width="12.00390625" style="0" customWidth="1"/>
    <col min="14092" max="14092" width="11.375" style="0" customWidth="1"/>
    <col min="14097" max="14097" width="10.875" style="0" customWidth="1"/>
    <col min="14098" max="14098" width="10.75390625" style="0" customWidth="1"/>
    <col min="14100" max="14100" width="11.125" style="0" customWidth="1"/>
    <col min="14101" max="14101" width="10.75390625" style="0" customWidth="1"/>
    <col min="14337" max="14337" width="5.875" style="0" customWidth="1"/>
    <col min="14338" max="14338" width="10.00390625" style="0" bestFit="1" customWidth="1"/>
    <col min="14346" max="14346" width="12.00390625" style="0" customWidth="1"/>
    <col min="14348" max="14348" width="11.375" style="0" customWidth="1"/>
    <col min="14353" max="14353" width="10.875" style="0" customWidth="1"/>
    <col min="14354" max="14354" width="10.75390625" style="0" customWidth="1"/>
    <col min="14356" max="14356" width="11.125" style="0" customWidth="1"/>
    <col min="14357" max="14357" width="10.75390625" style="0" customWidth="1"/>
    <col min="14593" max="14593" width="5.875" style="0" customWidth="1"/>
    <col min="14594" max="14594" width="10.00390625" style="0" bestFit="1" customWidth="1"/>
    <col min="14602" max="14602" width="12.00390625" style="0" customWidth="1"/>
    <col min="14604" max="14604" width="11.375" style="0" customWidth="1"/>
    <col min="14609" max="14609" width="10.875" style="0" customWidth="1"/>
    <col min="14610" max="14610" width="10.75390625" style="0" customWidth="1"/>
    <col min="14612" max="14612" width="11.125" style="0" customWidth="1"/>
    <col min="14613" max="14613" width="10.75390625" style="0" customWidth="1"/>
    <col min="14849" max="14849" width="5.875" style="0" customWidth="1"/>
    <col min="14850" max="14850" width="10.00390625" style="0" bestFit="1" customWidth="1"/>
    <col min="14858" max="14858" width="12.00390625" style="0" customWidth="1"/>
    <col min="14860" max="14860" width="11.375" style="0" customWidth="1"/>
    <col min="14865" max="14865" width="10.875" style="0" customWidth="1"/>
    <col min="14866" max="14866" width="10.75390625" style="0" customWidth="1"/>
    <col min="14868" max="14868" width="11.125" style="0" customWidth="1"/>
    <col min="14869" max="14869" width="10.75390625" style="0" customWidth="1"/>
    <col min="15105" max="15105" width="5.875" style="0" customWidth="1"/>
    <col min="15106" max="15106" width="10.00390625" style="0" bestFit="1" customWidth="1"/>
    <col min="15114" max="15114" width="12.00390625" style="0" customWidth="1"/>
    <col min="15116" max="15116" width="11.375" style="0" customWidth="1"/>
    <col min="15121" max="15121" width="10.875" style="0" customWidth="1"/>
    <col min="15122" max="15122" width="10.75390625" style="0" customWidth="1"/>
    <col min="15124" max="15124" width="11.125" style="0" customWidth="1"/>
    <col min="15125" max="15125" width="10.75390625" style="0" customWidth="1"/>
    <col min="15361" max="15361" width="5.875" style="0" customWidth="1"/>
    <col min="15362" max="15362" width="10.00390625" style="0" bestFit="1" customWidth="1"/>
    <col min="15370" max="15370" width="12.00390625" style="0" customWidth="1"/>
    <col min="15372" max="15372" width="11.375" style="0" customWidth="1"/>
    <col min="15377" max="15377" width="10.875" style="0" customWidth="1"/>
    <col min="15378" max="15378" width="10.75390625" style="0" customWidth="1"/>
    <col min="15380" max="15380" width="11.125" style="0" customWidth="1"/>
    <col min="15381" max="15381" width="10.75390625" style="0" customWidth="1"/>
    <col min="15617" max="15617" width="5.875" style="0" customWidth="1"/>
    <col min="15618" max="15618" width="10.00390625" style="0" bestFit="1" customWidth="1"/>
    <col min="15626" max="15626" width="12.00390625" style="0" customWidth="1"/>
    <col min="15628" max="15628" width="11.375" style="0" customWidth="1"/>
    <col min="15633" max="15633" width="10.875" style="0" customWidth="1"/>
    <col min="15634" max="15634" width="10.75390625" style="0" customWidth="1"/>
    <col min="15636" max="15636" width="11.125" style="0" customWidth="1"/>
    <col min="15637" max="15637" width="10.75390625" style="0" customWidth="1"/>
    <col min="15873" max="15873" width="5.875" style="0" customWidth="1"/>
    <col min="15874" max="15874" width="10.00390625" style="0" bestFit="1" customWidth="1"/>
    <col min="15882" max="15882" width="12.00390625" style="0" customWidth="1"/>
    <col min="15884" max="15884" width="11.375" style="0" customWidth="1"/>
    <col min="15889" max="15889" width="10.875" style="0" customWidth="1"/>
    <col min="15890" max="15890" width="10.75390625" style="0" customWidth="1"/>
    <col min="15892" max="15892" width="11.125" style="0" customWidth="1"/>
    <col min="15893" max="15893" width="10.75390625" style="0" customWidth="1"/>
    <col min="16129" max="16129" width="5.875" style="0" customWidth="1"/>
    <col min="16130" max="16130" width="10.00390625" style="0" bestFit="1" customWidth="1"/>
    <col min="16138" max="16138" width="12.00390625" style="0" customWidth="1"/>
    <col min="16140" max="16140" width="11.375" style="0" customWidth="1"/>
    <col min="16145" max="16145" width="10.875" style="0" customWidth="1"/>
    <col min="16146" max="16146" width="10.75390625" style="0" customWidth="1"/>
    <col min="16148" max="16148" width="11.125" style="0" customWidth="1"/>
    <col min="16149" max="16149" width="10.75390625" style="0" customWidth="1"/>
  </cols>
  <sheetData>
    <row r="1" spans="1:15" ht="19.5" customHeight="1">
      <c r="A1" s="231" t="s">
        <v>140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</row>
    <row r="2" spans="2:37" ht="13.5" thickBot="1">
      <c r="B2" s="52"/>
      <c r="C2" s="52"/>
      <c r="E2" s="138"/>
      <c r="F2" s="138"/>
      <c r="G2" s="138"/>
      <c r="H2" s="138"/>
      <c r="I2" s="138"/>
      <c r="J2" s="84"/>
      <c r="K2" s="139"/>
      <c r="L2" s="138"/>
      <c r="M2" s="138"/>
      <c r="N2" s="138"/>
      <c r="O2" s="138"/>
      <c r="P2" s="84"/>
      <c r="Q2" s="139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</row>
    <row r="3" spans="2:37" ht="12.75">
      <c r="B3" s="52"/>
      <c r="C3" s="52"/>
      <c r="D3" s="52"/>
      <c r="E3" s="243" t="s">
        <v>39</v>
      </c>
      <c r="F3" s="244"/>
      <c r="G3" s="244"/>
      <c r="H3" s="244"/>
      <c r="I3" s="244"/>
      <c r="J3" s="245"/>
      <c r="K3" s="243" t="s">
        <v>112</v>
      </c>
      <c r="L3" s="244"/>
      <c r="M3" s="244"/>
      <c r="N3" s="244"/>
      <c r="O3" s="244"/>
      <c r="P3" s="244"/>
      <c r="Q3" s="245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</row>
    <row r="4" spans="5:17" ht="13.5" thickBot="1">
      <c r="E4" s="53" t="s">
        <v>113</v>
      </c>
      <c r="F4" s="54" t="s">
        <v>114</v>
      </c>
      <c r="G4" s="54" t="s">
        <v>115</v>
      </c>
      <c r="H4" s="54" t="s">
        <v>116</v>
      </c>
      <c r="I4" s="54" t="s">
        <v>33</v>
      </c>
      <c r="J4" s="56" t="s">
        <v>118</v>
      </c>
      <c r="K4" s="53" t="s">
        <v>113</v>
      </c>
      <c r="L4" s="54" t="s">
        <v>114</v>
      </c>
      <c r="M4" s="54" t="s">
        <v>115</v>
      </c>
      <c r="N4" s="54" t="s">
        <v>116</v>
      </c>
      <c r="O4" s="54" t="s">
        <v>33</v>
      </c>
      <c r="P4" s="54" t="s">
        <v>118</v>
      </c>
      <c r="Q4" s="56" t="s">
        <v>119</v>
      </c>
    </row>
    <row r="5" spans="1:17" ht="12.75">
      <c r="A5">
        <v>1</v>
      </c>
      <c r="B5" s="164">
        <v>739069152</v>
      </c>
      <c r="C5" s="58">
        <v>1400</v>
      </c>
      <c r="D5" s="59" t="s">
        <v>120</v>
      </c>
      <c r="E5" s="57">
        <v>621</v>
      </c>
      <c r="F5" s="58">
        <v>95</v>
      </c>
      <c r="G5" s="58">
        <v>395</v>
      </c>
      <c r="H5" s="58">
        <v>27</v>
      </c>
      <c r="I5" s="58">
        <v>0</v>
      </c>
      <c r="J5" s="58">
        <v>2733.6</v>
      </c>
      <c r="K5" s="60">
        <v>124.2</v>
      </c>
      <c r="L5" s="58">
        <v>19</v>
      </c>
      <c r="M5" s="57">
        <v>79</v>
      </c>
      <c r="N5" s="57">
        <v>5.4</v>
      </c>
      <c r="O5" s="57">
        <v>0</v>
      </c>
      <c r="P5" s="57">
        <v>546.72</v>
      </c>
      <c r="Q5" s="61">
        <v>656.064</v>
      </c>
    </row>
    <row r="6" spans="1:17" ht="12.75">
      <c r="A6">
        <v>2</v>
      </c>
      <c r="B6" s="164">
        <v>739069159</v>
      </c>
      <c r="C6" s="52">
        <v>900</v>
      </c>
      <c r="D6" s="63" t="s">
        <v>120</v>
      </c>
      <c r="E6" s="62">
        <v>387</v>
      </c>
      <c r="F6" s="52">
        <v>81</v>
      </c>
      <c r="G6" s="52">
        <v>72</v>
      </c>
      <c r="H6" s="52">
        <v>30</v>
      </c>
      <c r="I6" s="52">
        <v>41</v>
      </c>
      <c r="J6" s="52">
        <v>3514.07</v>
      </c>
      <c r="K6" s="64">
        <v>77.4</v>
      </c>
      <c r="L6" s="52">
        <v>16.2</v>
      </c>
      <c r="M6" s="62">
        <v>14.4</v>
      </c>
      <c r="N6" s="62">
        <v>6</v>
      </c>
      <c r="O6" s="62">
        <v>8.2</v>
      </c>
      <c r="P6" s="62">
        <v>702.8140000000001</v>
      </c>
      <c r="Q6" s="65">
        <v>843.3768000000001</v>
      </c>
    </row>
    <row r="7" spans="1:17" ht="12.75">
      <c r="A7">
        <v>3</v>
      </c>
      <c r="B7" s="62"/>
      <c r="C7" s="52"/>
      <c r="D7" s="63"/>
      <c r="E7" s="62"/>
      <c r="F7" s="52"/>
      <c r="G7" s="52"/>
      <c r="H7" s="52"/>
      <c r="I7" s="52"/>
      <c r="J7" s="52"/>
      <c r="K7" s="64"/>
      <c r="L7" s="52"/>
      <c r="M7" s="62"/>
      <c r="N7" s="62"/>
      <c r="O7" s="62"/>
      <c r="P7" s="62"/>
      <c r="Q7" s="65"/>
    </row>
    <row r="8" spans="1:17" ht="13.5" thickBot="1">
      <c r="A8">
        <v>19</v>
      </c>
      <c r="B8" s="53"/>
      <c r="C8" s="55"/>
      <c r="D8" s="56"/>
      <c r="E8" s="67"/>
      <c r="F8" s="68"/>
      <c r="G8" s="68"/>
      <c r="H8" s="68"/>
      <c r="I8" s="68"/>
      <c r="J8" s="68"/>
      <c r="K8" s="69"/>
      <c r="L8" s="68"/>
      <c r="M8" s="67"/>
      <c r="N8" s="67"/>
      <c r="O8" s="67"/>
      <c r="P8" s="67"/>
      <c r="Q8" s="70"/>
    </row>
    <row r="9" spans="2:17" ht="12.75">
      <c r="B9" s="62"/>
      <c r="C9" s="52"/>
      <c r="D9" s="63" t="s">
        <v>98</v>
      </c>
      <c r="E9" s="62">
        <v>1008</v>
      </c>
      <c r="F9" s="66">
        <v>176</v>
      </c>
      <c r="G9" s="66">
        <v>467</v>
      </c>
      <c r="H9" s="66">
        <v>57</v>
      </c>
      <c r="I9" s="66">
        <v>41</v>
      </c>
      <c r="J9" s="52">
        <v>6247.67</v>
      </c>
      <c r="K9" s="52">
        <v>201.6</v>
      </c>
      <c r="L9" s="52">
        <v>35.2</v>
      </c>
      <c r="M9" s="52">
        <v>93.4</v>
      </c>
      <c r="N9" s="52">
        <v>11.4</v>
      </c>
      <c r="O9" s="52">
        <v>8.2</v>
      </c>
      <c r="P9" s="52">
        <v>1249.534</v>
      </c>
      <c r="Q9" s="71">
        <v>1499.4408</v>
      </c>
    </row>
    <row r="10" spans="2:17" ht="12.75">
      <c r="B10" s="62"/>
      <c r="C10" s="52"/>
      <c r="D10" s="63"/>
      <c r="E10" s="6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63"/>
    </row>
    <row r="11" spans="2:17" ht="13.5" thickBot="1">
      <c r="B11" s="53"/>
      <c r="C11" s="54"/>
      <c r="D11" s="56"/>
      <c r="E11" s="53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6"/>
    </row>
  </sheetData>
  <mergeCells count="3">
    <mergeCell ref="E3:J3"/>
    <mergeCell ref="K3:Q3"/>
    <mergeCell ref="A1:O1"/>
  </mergeCells>
  <printOptions/>
  <pageMargins left="0.7" right="0.7" top="0.787401575" bottom="0.787401575" header="0.3" footer="0.3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workbookViewId="0" topLeftCell="A1">
      <selection activeCell="L31" sqref="L31"/>
    </sheetView>
  </sheetViews>
  <sheetFormatPr defaultColWidth="9.00390625" defaultRowHeight="12.75"/>
  <cols>
    <col min="2" max="2" width="12.00390625" style="0" customWidth="1"/>
    <col min="15" max="15" width="13.125" style="0" customWidth="1"/>
    <col min="258" max="258" width="12.00390625" style="0" customWidth="1"/>
    <col min="271" max="271" width="13.125" style="0" customWidth="1"/>
    <col min="514" max="514" width="12.00390625" style="0" customWidth="1"/>
    <col min="527" max="527" width="13.125" style="0" customWidth="1"/>
    <col min="770" max="770" width="12.00390625" style="0" customWidth="1"/>
    <col min="783" max="783" width="13.125" style="0" customWidth="1"/>
    <col min="1026" max="1026" width="12.00390625" style="0" customWidth="1"/>
    <col min="1039" max="1039" width="13.125" style="0" customWidth="1"/>
    <col min="1282" max="1282" width="12.00390625" style="0" customWidth="1"/>
    <col min="1295" max="1295" width="13.125" style="0" customWidth="1"/>
    <col min="1538" max="1538" width="12.00390625" style="0" customWidth="1"/>
    <col min="1551" max="1551" width="13.125" style="0" customWidth="1"/>
    <col min="1794" max="1794" width="12.00390625" style="0" customWidth="1"/>
    <col min="1807" max="1807" width="13.125" style="0" customWidth="1"/>
    <col min="2050" max="2050" width="12.00390625" style="0" customWidth="1"/>
    <col min="2063" max="2063" width="13.125" style="0" customWidth="1"/>
    <col min="2306" max="2306" width="12.00390625" style="0" customWidth="1"/>
    <col min="2319" max="2319" width="13.125" style="0" customWidth="1"/>
    <col min="2562" max="2562" width="12.00390625" style="0" customWidth="1"/>
    <col min="2575" max="2575" width="13.125" style="0" customWidth="1"/>
    <col min="2818" max="2818" width="12.00390625" style="0" customWidth="1"/>
    <col min="2831" max="2831" width="13.125" style="0" customWidth="1"/>
    <col min="3074" max="3074" width="12.00390625" style="0" customWidth="1"/>
    <col min="3087" max="3087" width="13.125" style="0" customWidth="1"/>
    <col min="3330" max="3330" width="12.00390625" style="0" customWidth="1"/>
    <col min="3343" max="3343" width="13.125" style="0" customWidth="1"/>
    <col min="3586" max="3586" width="12.00390625" style="0" customWidth="1"/>
    <col min="3599" max="3599" width="13.125" style="0" customWidth="1"/>
    <col min="3842" max="3842" width="12.00390625" style="0" customWidth="1"/>
    <col min="3855" max="3855" width="13.125" style="0" customWidth="1"/>
    <col min="4098" max="4098" width="12.00390625" style="0" customWidth="1"/>
    <col min="4111" max="4111" width="13.125" style="0" customWidth="1"/>
    <col min="4354" max="4354" width="12.00390625" style="0" customWidth="1"/>
    <col min="4367" max="4367" width="13.125" style="0" customWidth="1"/>
    <col min="4610" max="4610" width="12.00390625" style="0" customWidth="1"/>
    <col min="4623" max="4623" width="13.125" style="0" customWidth="1"/>
    <col min="4866" max="4866" width="12.00390625" style="0" customWidth="1"/>
    <col min="4879" max="4879" width="13.125" style="0" customWidth="1"/>
    <col min="5122" max="5122" width="12.00390625" style="0" customWidth="1"/>
    <col min="5135" max="5135" width="13.125" style="0" customWidth="1"/>
    <col min="5378" max="5378" width="12.00390625" style="0" customWidth="1"/>
    <col min="5391" max="5391" width="13.125" style="0" customWidth="1"/>
    <col min="5634" max="5634" width="12.00390625" style="0" customWidth="1"/>
    <col min="5647" max="5647" width="13.125" style="0" customWidth="1"/>
    <col min="5890" max="5890" width="12.00390625" style="0" customWidth="1"/>
    <col min="5903" max="5903" width="13.125" style="0" customWidth="1"/>
    <col min="6146" max="6146" width="12.00390625" style="0" customWidth="1"/>
    <col min="6159" max="6159" width="13.125" style="0" customWidth="1"/>
    <col min="6402" max="6402" width="12.00390625" style="0" customWidth="1"/>
    <col min="6415" max="6415" width="13.125" style="0" customWidth="1"/>
    <col min="6658" max="6658" width="12.00390625" style="0" customWidth="1"/>
    <col min="6671" max="6671" width="13.125" style="0" customWidth="1"/>
    <col min="6914" max="6914" width="12.00390625" style="0" customWidth="1"/>
    <col min="6927" max="6927" width="13.125" style="0" customWidth="1"/>
    <col min="7170" max="7170" width="12.00390625" style="0" customWidth="1"/>
    <col min="7183" max="7183" width="13.125" style="0" customWidth="1"/>
    <col min="7426" max="7426" width="12.00390625" style="0" customWidth="1"/>
    <col min="7439" max="7439" width="13.125" style="0" customWidth="1"/>
    <col min="7682" max="7682" width="12.00390625" style="0" customWidth="1"/>
    <col min="7695" max="7695" width="13.125" style="0" customWidth="1"/>
    <col min="7938" max="7938" width="12.00390625" style="0" customWidth="1"/>
    <col min="7951" max="7951" width="13.125" style="0" customWidth="1"/>
    <col min="8194" max="8194" width="12.00390625" style="0" customWidth="1"/>
    <col min="8207" max="8207" width="13.125" style="0" customWidth="1"/>
    <col min="8450" max="8450" width="12.00390625" style="0" customWidth="1"/>
    <col min="8463" max="8463" width="13.125" style="0" customWidth="1"/>
    <col min="8706" max="8706" width="12.00390625" style="0" customWidth="1"/>
    <col min="8719" max="8719" width="13.125" style="0" customWidth="1"/>
    <col min="8962" max="8962" width="12.00390625" style="0" customWidth="1"/>
    <col min="8975" max="8975" width="13.125" style="0" customWidth="1"/>
    <col min="9218" max="9218" width="12.00390625" style="0" customWidth="1"/>
    <col min="9231" max="9231" width="13.125" style="0" customWidth="1"/>
    <col min="9474" max="9474" width="12.00390625" style="0" customWidth="1"/>
    <col min="9487" max="9487" width="13.125" style="0" customWidth="1"/>
    <col min="9730" max="9730" width="12.00390625" style="0" customWidth="1"/>
    <col min="9743" max="9743" width="13.125" style="0" customWidth="1"/>
    <col min="9986" max="9986" width="12.00390625" style="0" customWidth="1"/>
    <col min="9999" max="9999" width="13.125" style="0" customWidth="1"/>
    <col min="10242" max="10242" width="12.00390625" style="0" customWidth="1"/>
    <col min="10255" max="10255" width="13.125" style="0" customWidth="1"/>
    <col min="10498" max="10498" width="12.00390625" style="0" customWidth="1"/>
    <col min="10511" max="10511" width="13.125" style="0" customWidth="1"/>
    <col min="10754" max="10754" width="12.00390625" style="0" customWidth="1"/>
    <col min="10767" max="10767" width="13.125" style="0" customWidth="1"/>
    <col min="11010" max="11010" width="12.00390625" style="0" customWidth="1"/>
    <col min="11023" max="11023" width="13.125" style="0" customWidth="1"/>
    <col min="11266" max="11266" width="12.00390625" style="0" customWidth="1"/>
    <col min="11279" max="11279" width="13.125" style="0" customWidth="1"/>
    <col min="11522" max="11522" width="12.00390625" style="0" customWidth="1"/>
    <col min="11535" max="11535" width="13.125" style="0" customWidth="1"/>
    <col min="11778" max="11778" width="12.00390625" style="0" customWidth="1"/>
    <col min="11791" max="11791" width="13.125" style="0" customWidth="1"/>
    <col min="12034" max="12034" width="12.00390625" style="0" customWidth="1"/>
    <col min="12047" max="12047" width="13.125" style="0" customWidth="1"/>
    <col min="12290" max="12290" width="12.00390625" style="0" customWidth="1"/>
    <col min="12303" max="12303" width="13.125" style="0" customWidth="1"/>
    <col min="12546" max="12546" width="12.00390625" style="0" customWidth="1"/>
    <col min="12559" max="12559" width="13.125" style="0" customWidth="1"/>
    <col min="12802" max="12802" width="12.00390625" style="0" customWidth="1"/>
    <col min="12815" max="12815" width="13.125" style="0" customWidth="1"/>
    <col min="13058" max="13058" width="12.00390625" style="0" customWidth="1"/>
    <col min="13071" max="13071" width="13.125" style="0" customWidth="1"/>
    <col min="13314" max="13314" width="12.00390625" style="0" customWidth="1"/>
    <col min="13327" max="13327" width="13.125" style="0" customWidth="1"/>
    <col min="13570" max="13570" width="12.00390625" style="0" customWidth="1"/>
    <col min="13583" max="13583" width="13.125" style="0" customWidth="1"/>
    <col min="13826" max="13826" width="12.00390625" style="0" customWidth="1"/>
    <col min="13839" max="13839" width="13.125" style="0" customWidth="1"/>
    <col min="14082" max="14082" width="12.00390625" style="0" customWidth="1"/>
    <col min="14095" max="14095" width="13.125" style="0" customWidth="1"/>
    <col min="14338" max="14338" width="12.00390625" style="0" customWidth="1"/>
    <col min="14351" max="14351" width="13.125" style="0" customWidth="1"/>
    <col min="14594" max="14594" width="12.00390625" style="0" customWidth="1"/>
    <col min="14607" max="14607" width="13.125" style="0" customWidth="1"/>
    <col min="14850" max="14850" width="12.00390625" style="0" customWidth="1"/>
    <col min="14863" max="14863" width="13.125" style="0" customWidth="1"/>
    <col min="15106" max="15106" width="12.00390625" style="0" customWidth="1"/>
    <col min="15119" max="15119" width="13.125" style="0" customWidth="1"/>
    <col min="15362" max="15362" width="12.00390625" style="0" customWidth="1"/>
    <col min="15375" max="15375" width="13.125" style="0" customWidth="1"/>
    <col min="15618" max="15618" width="12.00390625" style="0" customWidth="1"/>
    <col min="15631" max="15631" width="13.125" style="0" customWidth="1"/>
    <col min="15874" max="15874" width="12.00390625" style="0" customWidth="1"/>
    <col min="15887" max="15887" width="13.125" style="0" customWidth="1"/>
    <col min="16130" max="16130" width="12.00390625" style="0" customWidth="1"/>
    <col min="16143" max="16143" width="13.125" style="0" customWidth="1"/>
  </cols>
  <sheetData>
    <row r="1" spans="1:15" ht="19.5">
      <c r="A1" s="231" t="s">
        <v>141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</row>
    <row r="2" spans="1:15" ht="12.75">
      <c r="A2" s="52"/>
      <c r="B2" s="72"/>
      <c r="C2" s="52"/>
      <c r="D2" s="52"/>
      <c r="E2" s="73"/>
      <c r="F2" s="52"/>
      <c r="G2" s="72"/>
      <c r="H2" s="52"/>
      <c r="I2" s="52"/>
      <c r="J2" s="52"/>
      <c r="K2" s="52"/>
      <c r="L2" s="52"/>
      <c r="M2" s="52"/>
      <c r="N2" s="52"/>
      <c r="O2" s="52"/>
    </row>
    <row r="3" spans="1:15" ht="13.5" thickBot="1">
      <c r="A3" s="74" t="s">
        <v>124</v>
      </c>
      <c r="B3" s="72"/>
      <c r="C3" s="52"/>
      <c r="D3" s="52"/>
      <c r="E3" s="73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2.75">
      <c r="A4" s="75" t="s">
        <v>24</v>
      </c>
      <c r="B4" s="76" t="s">
        <v>25</v>
      </c>
      <c r="C4" s="77" t="s">
        <v>27</v>
      </c>
      <c r="D4" s="59" t="s">
        <v>28</v>
      </c>
      <c r="E4" s="78" t="s">
        <v>29</v>
      </c>
      <c r="F4" s="79" t="s">
        <v>125</v>
      </c>
      <c r="G4" s="246" t="s">
        <v>31</v>
      </c>
      <c r="H4" s="247"/>
      <c r="I4" s="248" t="s">
        <v>126</v>
      </c>
      <c r="J4" s="249"/>
      <c r="K4" s="249"/>
      <c r="L4" s="250"/>
      <c r="M4" s="80"/>
      <c r="N4" s="80"/>
      <c r="O4" s="251" t="s">
        <v>34</v>
      </c>
    </row>
    <row r="5" spans="1:15" ht="13.5" thickBot="1">
      <c r="A5" s="81" t="s">
        <v>127</v>
      </c>
      <c r="B5" s="82"/>
      <c r="C5" s="83"/>
      <c r="D5" s="84" t="s">
        <v>128</v>
      </c>
      <c r="E5" s="253" t="s">
        <v>39</v>
      </c>
      <c r="F5" s="254"/>
      <c r="G5" s="85" t="s">
        <v>40</v>
      </c>
      <c r="H5" s="86" t="s">
        <v>41</v>
      </c>
      <c r="I5" s="85" t="s">
        <v>42</v>
      </c>
      <c r="J5" s="87" t="s">
        <v>36</v>
      </c>
      <c r="K5" s="87" t="s">
        <v>43</v>
      </c>
      <c r="L5" s="87" t="s">
        <v>44</v>
      </c>
      <c r="M5" s="86" t="s">
        <v>33</v>
      </c>
      <c r="N5" s="88" t="s">
        <v>45</v>
      </c>
      <c r="O5" s="252"/>
    </row>
    <row r="6" spans="1:15" ht="12.75">
      <c r="A6" s="75" t="s">
        <v>129</v>
      </c>
      <c r="B6" s="89">
        <v>603965141</v>
      </c>
      <c r="C6" s="75"/>
      <c r="D6" s="75">
        <v>650</v>
      </c>
      <c r="E6" s="90">
        <v>5003.86</v>
      </c>
      <c r="F6" s="91">
        <v>980</v>
      </c>
      <c r="G6" s="92">
        <f>E6/5</f>
        <v>1000.7719999999999</v>
      </c>
      <c r="H6" s="93">
        <f>F6/5</f>
        <v>196</v>
      </c>
      <c r="I6" s="78">
        <v>170</v>
      </c>
      <c r="J6" s="94">
        <v>0.24166666666666667</v>
      </c>
      <c r="K6" s="94">
        <v>0.5583333333333333</v>
      </c>
      <c r="L6" s="94">
        <v>0.2875</v>
      </c>
      <c r="M6" s="95">
        <v>13</v>
      </c>
      <c r="N6" s="96">
        <f>(E6-3900)/F6</f>
        <v>1.1263877551020405</v>
      </c>
      <c r="O6" s="97">
        <v>41448</v>
      </c>
    </row>
    <row r="7" spans="1:15" ht="12.75">
      <c r="A7" s="98" t="s">
        <v>129</v>
      </c>
      <c r="B7" s="99">
        <v>734071042</v>
      </c>
      <c r="C7" s="98"/>
      <c r="D7" s="98">
        <v>190</v>
      </c>
      <c r="E7" s="100">
        <v>2978.48</v>
      </c>
      <c r="F7" s="101">
        <v>548</v>
      </c>
      <c r="G7" s="92">
        <f>E7/5</f>
        <v>595.696</v>
      </c>
      <c r="H7" s="102">
        <f>F7/5</f>
        <v>109.6</v>
      </c>
      <c r="I7" s="103">
        <v>86</v>
      </c>
      <c r="J7" s="104">
        <v>0.5583333333333333</v>
      </c>
      <c r="K7" s="104">
        <v>0.14166666666666666</v>
      </c>
      <c r="L7" s="105">
        <v>0.26666666666666666</v>
      </c>
      <c r="M7" s="106">
        <v>0</v>
      </c>
      <c r="N7" s="107">
        <f>(E7-1140)/F7</f>
        <v>3.354890510948905</v>
      </c>
      <c r="O7" s="108">
        <v>41590</v>
      </c>
    </row>
    <row r="8" spans="1:15" ht="12.75">
      <c r="A8" s="98"/>
      <c r="B8" s="99"/>
      <c r="C8" s="98"/>
      <c r="D8" s="98"/>
      <c r="E8" s="100"/>
      <c r="F8" s="101"/>
      <c r="G8" s="92"/>
      <c r="H8" s="102"/>
      <c r="I8" s="109"/>
      <c r="J8" s="110"/>
      <c r="K8" s="110"/>
      <c r="L8" s="111"/>
      <c r="M8" s="106"/>
      <c r="N8" s="107"/>
      <c r="O8" s="98"/>
    </row>
    <row r="9" spans="1:15" ht="12.75">
      <c r="A9" s="98"/>
      <c r="B9" s="99"/>
      <c r="C9" s="98"/>
      <c r="D9" s="98"/>
      <c r="E9" s="100"/>
      <c r="F9" s="112"/>
      <c r="G9" s="92"/>
      <c r="H9" s="102"/>
      <c r="I9" s="109"/>
      <c r="J9" s="110"/>
      <c r="K9" s="110"/>
      <c r="L9" s="111"/>
      <c r="M9" s="106"/>
      <c r="N9" s="107"/>
      <c r="O9" s="108"/>
    </row>
    <row r="10" spans="1:15" ht="12.75">
      <c r="A10" s="98"/>
      <c r="B10" s="99"/>
      <c r="C10" s="98"/>
      <c r="D10" s="98"/>
      <c r="E10" s="100"/>
      <c r="F10" s="112"/>
      <c r="G10" s="92"/>
      <c r="H10" s="102"/>
      <c r="I10" s="109"/>
      <c r="J10" s="110"/>
      <c r="K10" s="110"/>
      <c r="L10" s="111"/>
      <c r="M10" s="106"/>
      <c r="N10" s="107"/>
      <c r="O10" s="98"/>
    </row>
    <row r="11" spans="1:15" ht="12.75">
      <c r="A11" s="98"/>
      <c r="B11" s="99"/>
      <c r="C11" s="98"/>
      <c r="D11" s="98"/>
      <c r="E11" s="100"/>
      <c r="F11" s="112"/>
      <c r="G11" s="92"/>
      <c r="H11" s="102"/>
      <c r="I11" s="109"/>
      <c r="J11" s="110"/>
      <c r="K11" s="110"/>
      <c r="L11" s="111"/>
      <c r="M11" s="106"/>
      <c r="N11" s="107"/>
      <c r="O11" s="98"/>
    </row>
    <row r="12" spans="1:15" ht="12.75">
      <c r="A12" s="98"/>
      <c r="B12" s="99"/>
      <c r="C12" s="98"/>
      <c r="D12" s="98"/>
      <c r="E12" s="100"/>
      <c r="F12" s="112"/>
      <c r="G12" s="92"/>
      <c r="H12" s="102"/>
      <c r="I12" s="109"/>
      <c r="J12" s="110"/>
      <c r="K12" s="110"/>
      <c r="L12" s="111"/>
      <c r="M12" s="106"/>
      <c r="N12" s="107"/>
      <c r="O12" s="98"/>
    </row>
    <row r="13" spans="1:15" ht="12.75">
      <c r="A13" s="98"/>
      <c r="B13" s="98"/>
      <c r="C13" s="98"/>
      <c r="D13" s="98"/>
      <c r="E13" s="100"/>
      <c r="F13" s="113"/>
      <c r="G13" s="92"/>
      <c r="H13" s="102"/>
      <c r="I13" s="109"/>
      <c r="J13" s="110"/>
      <c r="K13" s="110"/>
      <c r="L13" s="111"/>
      <c r="M13" s="106"/>
      <c r="N13" s="107"/>
      <c r="O13" s="98"/>
    </row>
    <row r="14" spans="1:15" ht="12.75">
      <c r="A14" s="98"/>
      <c r="B14" s="98"/>
      <c r="C14" s="98"/>
      <c r="D14" s="98"/>
      <c r="E14" s="100"/>
      <c r="F14" s="114"/>
      <c r="G14" s="92"/>
      <c r="H14" s="102"/>
      <c r="I14" s="109"/>
      <c r="J14" s="110"/>
      <c r="K14" s="110"/>
      <c r="L14" s="111"/>
      <c r="M14" s="106"/>
      <c r="N14" s="107"/>
      <c r="O14" s="98"/>
    </row>
    <row r="15" spans="1:15" ht="12.75">
      <c r="A15" s="98"/>
      <c r="B15" s="99"/>
      <c r="C15" s="98"/>
      <c r="D15" s="98"/>
      <c r="E15" s="100"/>
      <c r="F15" s="115"/>
      <c r="G15" s="116"/>
      <c r="H15" s="102"/>
      <c r="I15" s="109"/>
      <c r="J15" s="110"/>
      <c r="K15" s="110"/>
      <c r="L15" s="111"/>
      <c r="M15" s="106"/>
      <c r="N15" s="107"/>
      <c r="O15" s="98"/>
    </row>
    <row r="16" spans="1:15" ht="12.75">
      <c r="A16" s="98"/>
      <c r="B16" s="99"/>
      <c r="C16" s="98"/>
      <c r="D16" s="98"/>
      <c r="E16" s="100"/>
      <c r="F16" s="117"/>
      <c r="G16" s="116"/>
      <c r="H16" s="102"/>
      <c r="I16" s="109"/>
      <c r="J16" s="110"/>
      <c r="K16" s="110"/>
      <c r="L16" s="111"/>
      <c r="M16" s="106"/>
      <c r="N16" s="107"/>
      <c r="O16" s="98"/>
    </row>
    <row r="17" spans="1:15" ht="12.75">
      <c r="A17" s="98"/>
      <c r="B17" s="99"/>
      <c r="C17" s="98"/>
      <c r="D17" s="118"/>
      <c r="E17" s="119"/>
      <c r="F17" s="112"/>
      <c r="G17" s="116"/>
      <c r="H17" s="102"/>
      <c r="I17" s="109"/>
      <c r="J17" s="110"/>
      <c r="K17" s="110"/>
      <c r="L17" s="111"/>
      <c r="M17" s="106"/>
      <c r="N17" s="107"/>
      <c r="O17" s="98"/>
    </row>
    <row r="18" spans="1:15" ht="12.75">
      <c r="A18" s="98"/>
      <c r="B18" s="99"/>
      <c r="C18" s="98"/>
      <c r="D18" s="98"/>
      <c r="E18" s="100"/>
      <c r="F18" s="115"/>
      <c r="G18" s="116"/>
      <c r="H18" s="102"/>
      <c r="I18" s="109"/>
      <c r="J18" s="110"/>
      <c r="K18" s="110"/>
      <c r="L18" s="111"/>
      <c r="M18" s="106"/>
      <c r="N18" s="107"/>
      <c r="O18" s="98"/>
    </row>
    <row r="19" spans="1:15" ht="12.75">
      <c r="A19" s="98"/>
      <c r="B19" s="99"/>
      <c r="C19" s="98"/>
      <c r="D19" s="98"/>
      <c r="E19" s="100"/>
      <c r="F19" s="115"/>
      <c r="G19" s="116"/>
      <c r="H19" s="102"/>
      <c r="I19" s="109"/>
      <c r="J19" s="110"/>
      <c r="K19" s="110"/>
      <c r="L19" s="111"/>
      <c r="M19" s="106"/>
      <c r="N19" s="107"/>
      <c r="O19" s="98"/>
    </row>
    <row r="20" spans="1:15" ht="12.75">
      <c r="A20" s="98"/>
      <c r="B20" s="99"/>
      <c r="C20" s="98"/>
      <c r="D20" s="98"/>
      <c r="E20" s="100"/>
      <c r="F20" s="120"/>
      <c r="G20" s="116"/>
      <c r="H20" s="102"/>
      <c r="I20" s="109"/>
      <c r="J20" s="110"/>
      <c r="K20" s="110"/>
      <c r="L20" s="111"/>
      <c r="M20" s="106"/>
      <c r="N20" s="107"/>
      <c r="O20" s="98"/>
    </row>
    <row r="21" spans="1:15" ht="12.75">
      <c r="A21" s="98"/>
      <c r="B21" s="99"/>
      <c r="C21" s="98"/>
      <c r="D21" s="98"/>
      <c r="E21" s="100"/>
      <c r="F21" s="115"/>
      <c r="G21" s="116"/>
      <c r="H21" s="102"/>
      <c r="I21" s="109"/>
      <c r="J21" s="110"/>
      <c r="K21" s="110"/>
      <c r="L21" s="111"/>
      <c r="M21" s="106"/>
      <c r="N21" s="107"/>
      <c r="O21" s="98"/>
    </row>
    <row r="22" spans="1:15" ht="12.75">
      <c r="A22" s="98"/>
      <c r="B22" s="99"/>
      <c r="C22" s="98"/>
      <c r="D22" s="98"/>
      <c r="E22" s="100"/>
      <c r="F22" s="115"/>
      <c r="G22" s="116"/>
      <c r="H22" s="102"/>
      <c r="I22" s="109"/>
      <c r="J22" s="110"/>
      <c r="K22" s="110"/>
      <c r="L22" s="111"/>
      <c r="M22" s="106"/>
      <c r="N22" s="107"/>
      <c r="O22" s="98"/>
    </row>
    <row r="23" spans="1:15" ht="12.75">
      <c r="A23" s="98"/>
      <c r="B23" s="121"/>
      <c r="C23" s="122"/>
      <c r="D23" s="98"/>
      <c r="E23" s="119"/>
      <c r="F23" s="112"/>
      <c r="G23" s="116"/>
      <c r="H23" s="102"/>
      <c r="I23" s="123"/>
      <c r="J23" s="110"/>
      <c r="K23" s="110"/>
      <c r="L23" s="110"/>
      <c r="M23" s="106"/>
      <c r="N23" s="107"/>
      <c r="O23" s="98"/>
    </row>
    <row r="24" spans="1:15" ht="12.75">
      <c r="A24" s="98"/>
      <c r="B24" s="121"/>
      <c r="C24" s="98"/>
      <c r="D24" s="98"/>
      <c r="E24" s="119"/>
      <c r="F24" s="124"/>
      <c r="G24" s="109"/>
      <c r="H24" s="106"/>
      <c r="I24" s="123"/>
      <c r="J24" s="110"/>
      <c r="K24" s="110"/>
      <c r="L24" s="110"/>
      <c r="M24" s="106"/>
      <c r="N24" s="107"/>
      <c r="O24" s="98"/>
    </row>
    <row r="25" spans="1:15" ht="13.5" thickBot="1">
      <c r="A25" s="125"/>
      <c r="B25" s="126"/>
      <c r="C25" s="125"/>
      <c r="D25" s="125"/>
      <c r="E25" s="127"/>
      <c r="F25" s="128"/>
      <c r="G25" s="129"/>
      <c r="H25" s="130"/>
      <c r="I25" s="53"/>
      <c r="J25" s="83"/>
      <c r="K25" s="83"/>
      <c r="L25" s="83"/>
      <c r="M25" s="131"/>
      <c r="N25" s="132"/>
      <c r="O25" s="125"/>
    </row>
    <row r="26" spans="1:15" ht="12.75">
      <c r="A26" s="133"/>
      <c r="B26" s="52"/>
      <c r="C26" s="52"/>
      <c r="D26" s="52"/>
      <c r="E26" s="73"/>
      <c r="F26" s="52"/>
      <c r="G26" s="52"/>
      <c r="H26" s="52"/>
      <c r="I26" s="52"/>
      <c r="J26" s="52"/>
      <c r="K26" s="52"/>
      <c r="L26" s="52"/>
      <c r="M26" s="52"/>
      <c r="N26" s="52"/>
      <c r="O26" s="52"/>
    </row>
    <row r="27" spans="1:15" ht="12.75">
      <c r="A27" s="134"/>
      <c r="B27" s="72" t="s">
        <v>98</v>
      </c>
      <c r="C27" s="52"/>
      <c r="D27" s="52"/>
      <c r="E27" s="73"/>
      <c r="F27" s="135"/>
      <c r="G27" s="52"/>
      <c r="H27" s="52"/>
      <c r="I27" s="52"/>
      <c r="J27" s="52"/>
      <c r="K27" s="52"/>
      <c r="L27" s="52"/>
      <c r="M27" s="52"/>
      <c r="N27" s="52"/>
      <c r="O27" s="52"/>
    </row>
    <row r="28" spans="1:15" ht="12.75">
      <c r="A28" s="52"/>
      <c r="B28" s="72"/>
      <c r="C28" s="52"/>
      <c r="D28" s="52"/>
      <c r="E28" s="73"/>
      <c r="F28" s="135"/>
      <c r="G28" s="52"/>
      <c r="H28" s="52"/>
      <c r="I28" s="52"/>
      <c r="J28" s="52"/>
      <c r="K28" s="52"/>
      <c r="L28" s="52"/>
      <c r="M28" s="52"/>
      <c r="N28" s="52"/>
      <c r="O28" s="52"/>
    </row>
    <row r="29" spans="1:15" ht="12.75">
      <c r="A29" s="52"/>
      <c r="B29" s="72" t="s">
        <v>130</v>
      </c>
      <c r="C29" s="52"/>
      <c r="D29" s="52"/>
      <c r="E29" s="73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1:15" ht="12.75">
      <c r="A30" s="52"/>
      <c r="B30" s="72"/>
      <c r="C30" s="52"/>
      <c r="D30" s="52"/>
      <c r="E30" s="136"/>
      <c r="F30" s="52"/>
      <c r="G30" s="72"/>
      <c r="H30" s="52"/>
      <c r="I30" s="52"/>
      <c r="J30" s="52"/>
      <c r="K30" s="52"/>
      <c r="L30" s="52"/>
      <c r="M30" s="52"/>
      <c r="N30" s="52"/>
      <c r="O30" s="52"/>
    </row>
    <row r="31" spans="1:15" ht="12.75">
      <c r="A31" s="52"/>
      <c r="B31" s="52" t="s">
        <v>131</v>
      </c>
      <c r="C31" s="52"/>
      <c r="D31" s="52"/>
      <c r="E31" s="52"/>
      <c r="F31" s="52"/>
      <c r="G31" s="72"/>
      <c r="H31" s="52"/>
      <c r="I31" s="52"/>
      <c r="J31" s="52"/>
      <c r="K31" s="52"/>
      <c r="L31" s="52"/>
      <c r="M31" s="52"/>
      <c r="N31" s="52"/>
      <c r="O31" s="52"/>
    </row>
    <row r="32" spans="1:15" ht="12.75">
      <c r="A32" s="52"/>
      <c r="B32" s="52"/>
      <c r="C32" s="52"/>
      <c r="D32" s="52"/>
      <c r="E32" s="52"/>
      <c r="F32" s="52"/>
      <c r="G32" s="72"/>
      <c r="H32" s="52"/>
      <c r="I32" s="52"/>
      <c r="J32" s="52"/>
      <c r="K32" s="52"/>
      <c r="L32" s="52"/>
      <c r="M32" s="52"/>
      <c r="N32" s="52"/>
      <c r="O32" s="52"/>
    </row>
    <row r="33" spans="1:15" ht="15">
      <c r="A33" s="52"/>
      <c r="B33" s="134"/>
      <c r="C33" s="13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</sheetData>
  <mergeCells count="5">
    <mergeCell ref="G4:H4"/>
    <mergeCell ref="I4:L4"/>
    <mergeCell ref="O4:O5"/>
    <mergeCell ref="E5:F5"/>
    <mergeCell ref="A1:O1"/>
  </mergeCells>
  <printOptions/>
  <pageMargins left="0.7" right="0.7" top="0.787401575" bottom="0.787401575" header="0.3" footer="0.3"/>
  <pageSetup fitToHeight="1" fitToWidth="1" horizontalDpi="600" verticalDpi="600" orientation="landscape" paperSize="9" scale="92" r:id="rId3"/>
  <legacyDrawing r:id="rId2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LxgX9kIugQOGzI56yZtjVBpiO/w=</DigestValue>
    </Reference>
    <Reference URI="#idOfficeObject" Type="http://www.w3.org/2000/09/xmldsig#Object">
      <DigestMethod Algorithm="http://www.w3.org/2000/09/xmldsig#sha1"/>
      <DigestValue>pk7Y4e8EiC3XJyTGwvIOiV48U0Q=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uorU7B5QuvIdIBPGVdR2u6C6+XU=</DigestValue>
    </Reference>
  </SignedInfo>
  <SignatureValue>c5yEecBwa/adYXGPecEkawB8C6Ev23KJpu8BnHDkdcbGwvFqaRl5R6NFxmmxNnz+LWIip6M0wF1q
ZaIFDztm2mbzPVsIFoy6oBkZYx+ZRNODhtG59/qGtuQsAw1AQwdOGha3ztCfdOlVPQehX9j7k6LD
nOZBIQzke+1BjffW3v66dSAGDp5ldg5m094e6hHRgzS5Ktdgm9mJCkO63RTa1ku41ZTPwNGY6KFZ
LolrrhlsPI2ZtqxTiRbCsrzrpdiTZndeYaLT3IYoTyzurh9xWP9T6Bui1cAUSOMGUyido1hcISBa
QlppfZBsW31Riano5YEdmssPw0E2yFzsjTJ2Vw==</SignatureValue>
  <KeyInfo>
    <X509Data>
      <X509Certificate>MIIGdTCCBV2gAwIBAgIDFMd2MA0GCSqGSIb3DQEBCwUAMF8xCzAJBgNVBAYTAkNaMSwwKgYDVQQK
DCPEjGVza8OhIHBvxaF0YSwgcy5wLiBbScSMIDQ3MTE0OTgzXTEiMCAGA1UEAxMZUG9zdFNpZ251
bSBRdWFsaWZpZWQgQ0EgMjAeFw0xMjEwMDMxMzE1MzJaFw0xMzEwMDMxMzE1MzJaME0xCzAJBgNV
BAYTAkNaMRAwDgYDVQQLEwdQMzI4OTE0MRowGAYDVQQDDBFNZ3IuIEZpbGlwIFVocsOhazEQMA4G
A1UEBRMHUDMyODkxNDCCASIwDQYJKoZIhvcNAQEBBQADggEPADCCAQoCggEBAOMFU+ovWV7rudVX
PT4XfTQdkJM38laA0EgFgWwAB88Pwk0+UCWaufdoQPE+wmIdzI1TH6g0bsgRNtPy32XgxIb2t9jG
H+B0XSa0+VdT8XTnq2cUOt1Z7CG/0Xeq6lJRKRDs47C2QaZYbqeBrRNbHeh+hxBUU9crwNZl4b7V
tBzOx+IkQ2dJypmpiF7/sllsgO4styzXf2HOP01kqCCDck/Jm+9ZOAbpNHvkJCvHXpM0hKW7eulZ
3JA1BMBcQ6pjn2mjXGpBvyKbNys5u9YfVeLzyuZpUm66HqPWKPJcmwYdRyYmr5P1FIxDU6iPOZMb
oJrVkPrPn/30rHyRGdddAC8CAwEAAaOCA0owggNGMEkGA1UdEQRCMECBGGZpbGlwLnVocmFrQGUt
dGVuZGVycy5jeqAZBgkrBgEEAdwZAgGgDBMKMTcyNTc3MjYxMKAJBgNVBA2gAhMAMIIBDgYDVR0g
BIIBBTCCAQEwgf4GCWeBBgEEAQeBUjCB8DCBxwYIKwYBBQUHAgIwgboagbdUZW50byBrdmFsaWZp
a292YW55IGNlcnRpZmlrYXQgYnlsIHZ5ZGFuIHBvZGxlIHpha29uYSAyMjcvMjAwMFNiLiBhIG5h
dmF6bnljaCBwcmVkcGlzdS4vVGhpcyBxdWFsaWZpZWQgY2VydGlmaWNhdGUgd2FzIGlzc3VlZCBh
Y2NvcmRpbmcgdG8gTGF3IE5vIDIyNy8yMDAwQ29sbC4gYW5kIHJlbGF0ZWQgcmVndWxhdGlvbnMw
JAYIKwYBBQUHAgEWGGh0dHA6Ly93d3cucG9zdHNpZ251bS5jejAYBggrBgEFBQcBAwQMMAowCAYG
BACORgEBMIHIBggrBgEFBQcBAQSBuzCBuDA7BggrBgEFBQcwAoYvaHR0cDovL3d3dy5wb3N0c2ln
bnVtLmN6L2NydC9wc3F1YWxpZmllZGNhMi5jcnQwPAYIKwYBBQUHMAKGMGh0dHA6Ly93d3cyLnBv
c3RzaWdudW0uY3ovY3J0L3BzcXVhbGlmaWVkY2EyLmNydDA7BggrBgEFBQcwAoYvaHR0cDovL3Bv
c3RzaWdudW0udHRjLmN6L2NydC9wc3F1YWxpZmllZGNhMi5jcnQwDgYDVR0PAQH/BAQDAgXgMB8G
A1UdIwQYMBaAFInoTN+LJjk+1yQuEg565+Yn5daXMIGxBgNVHR8EgakwgaYwNaAzoDGGL2h0dHA6
Ly93d3cucG9zdHNpZ251bS5jei9jcmwvcHNxdWFsaWZpZWRjYTIuY3JsMDagNKAyhjBodHRwOi8v
d3d3Mi5wb3N0c2lnbnVtLmN6L2NybC9wc3F1YWxpZmllZGNhMi5jcmwwNaAzoDGGL2h0dHA6Ly9w
b3N0c2lnbnVtLnR0Yy5jei9jcmwvcHNxdWFsaWZpZWRjYTIuY3JsMB0GA1UdDgQWBBTUi2b3mQ5a
A+Ea+YSwRI/HpPI+szANBgkqhkiG9w0BAQsFAAOCAQEALSJON1vavxNyJv62y+42Ls9JWB1y5nI7
rSdBDFz3lfc9tUnoNhVpZ4JG19n/3Bl7McUdTwDUaCSMCbDL4CJHFYfNtLOvb02sLhAcHgJAyQza
Fyvrj1DK99fNI67RIWmr1fFGWjAOm8Hh7VWfTThXvoyWmH7XbLHsfJqytzt7EtxE7GwZkOL1K5A+
GJxZOw0eNc8SI3ilEetQ/jy+h5RH9kEyTnUwK7TfL7Ml2uLcFw4Ueipi9n1F++SKLyISmW77syDd
GFbWe4Tbj2QCPce8FhoCvWJG75sHcvtmot0szi8j5UKIvaQQQc7w/S8wWDQ8/2aNtKJ+OA7X4B6K
rqqgZQ==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evtwFPehE0cKHtAYasFn9XGYofU=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CprrGHgy1rUAaxit51raASRNBfU=</DigestValue>
      </Reference>
      <Reference URI="/xl/worksheets/sheet6.xml?ContentType=application/vnd.openxmlformats-officedocument.spreadsheetml.worksheet+xml">
        <DigestMethod Algorithm="http://www.w3.org/2000/09/xmldsig#sha1"/>
        <DigestValue>PGoBJZJ1LnzmmRRmqIkvqz/Pr7M=</DigestValue>
      </Reference>
      <Reference URI="/xl/worksheets/sheet5.xml?ContentType=application/vnd.openxmlformats-officedocument.spreadsheetml.worksheet+xml">
        <DigestMethod Algorithm="http://www.w3.org/2000/09/xmldsig#sha1"/>
        <DigestValue>d0R5ggLoKrU7Ru6fDExFzLrB4O0=</DigestValue>
      </Reference>
      <Reference URI="/xl/sharedStrings.xml?ContentType=application/vnd.openxmlformats-officedocument.spreadsheetml.sharedStrings+xml">
        <DigestMethod Algorithm="http://www.w3.org/2000/09/xmldsig#sha1"/>
        <DigestValue>4AFEbyXPmAXhlC4Aakhc+vAQHLA=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CprrGHgy1rUAaxit51raASRNBfU=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rBD5CEJymXewyqNQRZ6g0qmciJY=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Q8leT25nLQUaR8PwESBuyz7H5XM=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CprrGHgy1rUAaxit51raASRNBfU=</DigestValue>
      </Reference>
      <Reference URI="/xl/comments1.xml?ContentType=application/vnd.openxmlformats-officedocument.spreadsheetml.comments+xml">
        <DigestMethod Algorithm="http://www.w3.org/2000/09/xmldsig#sha1"/>
        <DigestValue>5iMYHiKFN95D/1sREDMguUc5juk=</DigestValue>
      </Reference>
      <Reference URI="/xl/styles.xml?ContentType=application/vnd.openxmlformats-officedocument.spreadsheetml.styles+xml">
        <DigestMethod Algorithm="http://www.w3.org/2000/09/xmldsig#sha1"/>
        <DigestValue>AY6WjpYxJBDZOzuuZ+vP3vWGfNs=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46gmLdeVIXITUlua4Ft0rpOFScA=</DigestValue>
      </Reference>
      <Reference URI="/xl/worksheets/sheet4.xml?ContentType=application/vnd.openxmlformats-officedocument.spreadsheetml.worksheet+xml">
        <DigestMethod Algorithm="http://www.w3.org/2000/09/xmldsig#sha1"/>
        <DigestValue>hK7TK/gIu7mrcilkufNMpUE+Ok4=</DigestValue>
      </Reference>
      <Reference URI="/xl/drawings/vmlDrawing1.vml?ContentType=application/vnd.openxmlformats-officedocument.vmlDrawing">
        <DigestMethod Algorithm="http://www.w3.org/2000/09/xmldsig#sha1"/>
        <DigestValue>M3ENCm8+lLuovhnK2vrmfVDNf9Q=</DigestValue>
      </Reference>
      <Reference URI="/xl/worksheets/sheet2.xml?ContentType=application/vnd.openxmlformats-officedocument.spreadsheetml.worksheet+xml">
        <DigestMethod Algorithm="http://www.w3.org/2000/09/xmldsig#sha1"/>
        <DigestValue>zBippGIxoTgRUfkedkD62E9pXio=</DigestValue>
      </Reference>
      <Reference URI="/xl/worksheets/sheet3.xml?ContentType=application/vnd.openxmlformats-officedocument.spreadsheetml.worksheet+xml">
        <DigestMethod Algorithm="http://www.w3.org/2000/09/xmldsig#sha1"/>
        <DigestValue>x4j/snWz0O6+rwpggxX1sWf9ApQ=</DigestValue>
      </Reference>
      <Reference URI="/xl/worksheets/sheet1.xml?ContentType=application/vnd.openxmlformats-officedocument.spreadsheetml.worksheet+xml">
        <DigestMethod Algorithm="http://www.w3.org/2000/09/xmldsig#sha1"/>
        <DigestValue>Be7ywY6Ot/AL592Le1+IYcrrFP8=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yIDLR0LLENS8mt6pMZjN1jhuEdA=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dY+DyKuxdOO6ooRIH+ClGOhacvQ=</DigestValue>
      </Reference>
    </Manifest>
    <SignatureProperties>
      <SignatureProperty Id="idSignatureTime" Target="#idPackageSignature">
        <mdssi:SignatureTime>
          <mdssi:Format>YYYY-MM-DDThh:mm:ssTZD</mdssi:Format>
          <mdssi:Value>2012-12-03T09:07:03Z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2012-12-03T09:07:03Z</xd:SigningTime>
          <xd:SigningCertificate>
            <xd:Cert>
              <xd:CertDigest>
                <DigestMethod Algorithm="http://www.w3.org/2000/09/xmldsig#sha1"/>
                <DigestValue>YeQeJjP+Fp8V4pN9WTvpI+NusDY=</DigestValue>
              </xd:CertDigest>
              <xd:IssuerSerial>
                <X509IssuerName>C=CZ, O="Česká pošta, s.p. [IČ 47114983]", CN=PostSignum Qualified CA 2</X509IssuerName>
                <X509SerialNumber>1361782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Adéla</dc:creator>
  <cp:keywords/>
  <dc:description/>
  <cp:lastModifiedBy>uhrak</cp:lastModifiedBy>
  <cp:lastPrinted>2012-11-20T11:42:49Z</cp:lastPrinted>
  <dcterms:created xsi:type="dcterms:W3CDTF">2005-12-08T07:12:21Z</dcterms:created>
  <dcterms:modified xsi:type="dcterms:W3CDTF">2012-12-03T08:52:56Z</dcterms:modified>
  <cp:category/>
  <cp:version/>
  <cp:contentType/>
  <cp:contentStatus/>
</cp:coreProperties>
</file>