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kapacita" sheetId="1" r:id="rId1"/>
    <sheet name="spotřeb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<sst xmlns="http://schemas.openxmlformats.org/spreadsheetml/2006/main" count="189" uniqueCount="43">
  <si>
    <t>Odběratel</t>
  </si>
  <si>
    <t>Adresa odběrného místa</t>
  </si>
  <si>
    <t>Zákazník číslo</t>
  </si>
  <si>
    <t>Odběrné místo číslo</t>
  </si>
  <si>
    <t>Číslo měřidla</t>
  </si>
  <si>
    <r>
      <t>m</t>
    </r>
    <r>
      <rPr>
        <b/>
        <vertAlign val="superscript"/>
        <sz val="8"/>
        <color indexed="8"/>
        <rFont val="Arial"/>
        <family val="2"/>
      </rPr>
      <t>3</t>
    </r>
  </si>
  <si>
    <t>Služby města Jihlavy, s.r.o.           Havlíčkova 218/64, Jihlava</t>
  </si>
  <si>
    <t>Smrčenská 4029/80, Jihlava</t>
  </si>
  <si>
    <t>E. Rošického 2684/6, Jihlava</t>
  </si>
  <si>
    <t>Správa městských lesů Jihlava, s.r.o.</t>
  </si>
  <si>
    <t>Rantířovská 4003/5, Jihlava</t>
  </si>
  <si>
    <t>Dopravní podnik města Jihlavy, a.s.</t>
  </si>
  <si>
    <t>Brtnická 23, 586 01 Jihlava</t>
  </si>
  <si>
    <t>HC Dukla Jihlava, s.r.o.</t>
  </si>
  <si>
    <t>Tolstého 23, Jihlava</t>
  </si>
  <si>
    <t>ZŠ, E. Rošického 2</t>
  </si>
  <si>
    <t>Evžena Rošického 2, Jihlava</t>
  </si>
  <si>
    <t>ZŠ, Seifertova 5</t>
  </si>
  <si>
    <t>Seifertova 1426/5, Jihlava</t>
  </si>
  <si>
    <t>Prádelna a čistírna Jihlava, s.r.o.</t>
  </si>
  <si>
    <t>Rantířovská 13/15, Jihlava</t>
  </si>
  <si>
    <t>denní kapacita</t>
  </si>
  <si>
    <t>typ měření</t>
  </si>
  <si>
    <t>C</t>
  </si>
  <si>
    <t>3 300 </t>
  </si>
  <si>
    <t>A </t>
  </si>
  <si>
    <t xml:space="preserve">Roční spotřeba </t>
  </si>
  <si>
    <t>kWh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</si>
  <si>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</si>
  <si>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</si>
  <si>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</si>
  <si>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</si>
  <si>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</si>
  <si>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</si>
  <si>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</si>
  <si>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</si>
  <si>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</si>
  <si>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</si>
  <si>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</si>
  <si>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</si>
  <si>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</t>
  </si>
  <si>
    <t>celkem</t>
  </si>
  <si>
    <t>období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</si>
</sst>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48" applyFill="1" applyBorder="1">
      <alignment/>
      <protection/>
    </xf>
    <xf numFmtId="0" fontId="4" fillId="0" borderId="10" xfId="48" applyFont="1" applyFill="1" applyBorder="1" applyAlignment="1">
      <alignment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0" borderId="11" xfId="48" applyFont="1" applyFill="1" applyBorder="1" applyAlignment="1">
      <alignment horizontal="left" vertical="center" wrapText="1"/>
      <protection/>
    </xf>
    <xf numFmtId="0" fontId="4" fillId="0" borderId="12" xfId="48" applyFont="1" applyFill="1" applyBorder="1" applyAlignment="1">
      <alignment vertical="center"/>
      <protection/>
    </xf>
    <xf numFmtId="0" fontId="4" fillId="0" borderId="12" xfId="48" applyFont="1" applyFill="1" applyBorder="1" applyAlignment="1">
      <alignment horizontal="center" vertical="center"/>
      <protection/>
    </xf>
    <xf numFmtId="2" fontId="4" fillId="0" borderId="10" xfId="48" applyNumberFormat="1" applyFont="1" applyFill="1" applyBorder="1" applyAlignment="1">
      <alignment horizontal="right" vertical="center" wrapText="1"/>
      <protection/>
    </xf>
    <xf numFmtId="2" fontId="4" fillId="0" borderId="12" xfId="48" applyNumberFormat="1" applyFont="1" applyFill="1" applyBorder="1" applyAlignment="1">
      <alignment horizontal="right" vertical="center" wrapText="1"/>
      <protection/>
    </xf>
    <xf numFmtId="2" fontId="4" fillId="0" borderId="13" xfId="48" applyNumberFormat="1" applyFont="1" applyFill="1" applyBorder="1" applyAlignment="1">
      <alignment horizontal="right" vertical="center" wrapText="1"/>
      <protection/>
    </xf>
    <xf numFmtId="2" fontId="4" fillId="0" borderId="14" xfId="48" applyNumberFormat="1" applyFont="1" applyFill="1" applyBorder="1" applyAlignment="1">
      <alignment horizontal="right" vertical="center" wrapText="1"/>
      <protection/>
    </xf>
    <xf numFmtId="2" fontId="4" fillId="0" borderId="13" xfId="48" applyNumberFormat="1" applyFont="1" applyFill="1" applyBorder="1" applyAlignment="1">
      <alignment horizontal="right" vertical="center" wrapText="1"/>
      <protection/>
    </xf>
    <xf numFmtId="0" fontId="4" fillId="0" borderId="15" xfId="48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left" vertical="top" wrapText="1"/>
      <protection/>
    </xf>
    <xf numFmtId="0" fontId="4" fillId="0" borderId="10" xfId="48" applyFont="1" applyFill="1" applyBorder="1" applyAlignment="1">
      <alignment horizontal="left" vertical="center"/>
      <protection/>
    </xf>
    <xf numFmtId="0" fontId="4" fillId="0" borderId="10" xfId="48" applyFont="1" applyFill="1" applyBorder="1" applyAlignment="1">
      <alignment horizontal="left" vertical="top"/>
      <protection/>
    </xf>
    <xf numFmtId="3" fontId="4" fillId="6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3" fontId="4" fillId="6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6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3" fontId="4" fillId="0" borderId="19" xfId="48" applyNumberFormat="1" applyFont="1" applyFill="1" applyBorder="1" applyAlignment="1">
      <alignment horizontal="center" vertical="center"/>
      <protection/>
    </xf>
    <xf numFmtId="3" fontId="4" fillId="0" borderId="20" xfId="48" applyNumberFormat="1" applyFont="1" applyFill="1" applyBorder="1" applyAlignment="1">
      <alignment horizontal="center" vertical="center"/>
      <protection/>
    </xf>
    <xf numFmtId="3" fontId="4" fillId="0" borderId="21" xfId="48" applyNumberFormat="1" applyFont="1" applyFill="1" applyBorder="1" applyAlignment="1">
      <alignment horizontal="center" vertical="center"/>
      <protection/>
    </xf>
    <xf numFmtId="3" fontId="4" fillId="0" borderId="22" xfId="48" applyNumberFormat="1" applyFont="1" applyFill="1" applyBorder="1" applyAlignment="1">
      <alignment horizontal="center" vertical="center"/>
      <protection/>
    </xf>
    <xf numFmtId="0" fontId="3" fillId="33" borderId="23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24" xfId="48" applyFont="1" applyFill="1" applyBorder="1" applyAlignment="1">
      <alignment horizontal="left" vertical="center" wrapText="1"/>
      <protection/>
    </xf>
    <xf numFmtId="0" fontId="4" fillId="0" borderId="13" xfId="48" applyFont="1" applyFill="1" applyBorder="1" applyAlignment="1">
      <alignment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3" fontId="4" fillId="0" borderId="21" xfId="48" applyNumberFormat="1" applyFont="1" applyFill="1" applyBorder="1" applyAlignment="1">
      <alignment horizontal="center" vertical="center"/>
      <protection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3" fillId="33" borderId="26" xfId="48" applyFont="1" applyFill="1" applyBorder="1" applyAlignment="1">
      <alignment horizontal="center" vertical="center" wrapText="1"/>
      <protection/>
    </xf>
    <xf numFmtId="0" fontId="3" fillId="33" borderId="18" xfId="48" applyFont="1" applyFill="1" applyBorder="1" applyAlignment="1">
      <alignment horizontal="center" vertical="center"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49" fontId="3" fillId="33" borderId="27" xfId="48" applyNumberFormat="1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5" fillId="33" borderId="12" xfId="48" applyNumberFormat="1" applyFont="1" applyFill="1" applyBorder="1" applyAlignment="1">
      <alignment horizontal="center" vertical="center"/>
      <protection/>
    </xf>
    <xf numFmtId="49" fontId="3" fillId="33" borderId="22" xfId="48" applyNumberFormat="1" applyFont="1" applyFill="1" applyBorder="1" applyAlignment="1">
      <alignment horizontal="center" vertical="center" wrapText="1"/>
      <protection/>
    </xf>
    <xf numFmtId="0" fontId="4" fillId="6" borderId="15" xfId="48" applyFont="1" applyFill="1" applyBorder="1" applyAlignment="1">
      <alignment vertical="top" wrapText="1"/>
      <protection/>
    </xf>
    <xf numFmtId="0" fontId="4" fillId="6" borderId="10" xfId="48" applyFont="1" applyFill="1" applyBorder="1" applyAlignment="1">
      <alignment vertical="center"/>
      <protection/>
    </xf>
    <xf numFmtId="0" fontId="4" fillId="6" borderId="10" xfId="48" applyFont="1" applyFill="1" applyBorder="1" applyAlignment="1">
      <alignment horizontal="center" vertical="center"/>
      <protection/>
    </xf>
    <xf numFmtId="2" fontId="4" fillId="6" borderId="10" xfId="48" applyNumberFormat="1" applyFont="1" applyFill="1" applyBorder="1" applyAlignment="1">
      <alignment horizontal="right" vertical="center" wrapText="1"/>
      <protection/>
    </xf>
    <xf numFmtId="3" fontId="4" fillId="6" borderId="19" xfId="48" applyNumberFormat="1" applyFont="1" applyFill="1" applyBorder="1" applyAlignment="1">
      <alignment horizontal="center" vertical="center"/>
      <protection/>
    </xf>
    <xf numFmtId="0" fontId="4" fillId="6" borderId="15" xfId="48" applyFont="1" applyFill="1" applyBorder="1" applyAlignment="1">
      <alignment horizontal="left" vertical="top" wrapText="1"/>
      <protection/>
    </xf>
    <xf numFmtId="0" fontId="4" fillId="6" borderId="10" xfId="48" applyFont="1" applyFill="1" applyBorder="1" applyAlignment="1">
      <alignment horizontal="left" vertical="center"/>
      <protection/>
    </xf>
    <xf numFmtId="0" fontId="4" fillId="6" borderId="10" xfId="48" applyFont="1" applyFill="1" applyBorder="1" applyAlignment="1">
      <alignment horizontal="center" vertical="center"/>
      <protection/>
    </xf>
    <xf numFmtId="2" fontId="7" fillId="6" borderId="14" xfId="48" applyNumberFormat="1" applyFont="1" applyFill="1" applyBorder="1" applyAlignment="1">
      <alignment horizontal="right" vertical="center" wrapText="1"/>
      <protection/>
    </xf>
    <xf numFmtId="3" fontId="4" fillId="6" borderId="20" xfId="48" applyNumberFormat="1" applyFont="1" applyFill="1" applyBorder="1" applyAlignment="1">
      <alignment horizontal="center" vertical="center"/>
      <protection/>
    </xf>
    <xf numFmtId="2" fontId="7" fillId="6" borderId="28" xfId="48" applyNumberFormat="1" applyFont="1" applyFill="1" applyBorder="1" applyAlignment="1">
      <alignment horizontal="right" vertical="center" wrapText="1"/>
      <protection/>
    </xf>
    <xf numFmtId="3" fontId="4" fillId="6" borderId="29" xfId="48" applyNumberFormat="1" applyFont="1" applyFill="1" applyBorder="1" applyAlignment="1">
      <alignment horizontal="center" vertical="center"/>
      <protection/>
    </xf>
    <xf numFmtId="2" fontId="7" fillId="6" borderId="13" xfId="48" applyNumberFormat="1" applyFont="1" applyFill="1" applyBorder="1" applyAlignment="1">
      <alignment horizontal="right" vertical="center" wrapText="1"/>
      <protection/>
    </xf>
    <xf numFmtId="3" fontId="4" fillId="6" borderId="21" xfId="48" applyNumberFormat="1" applyFont="1" applyFill="1" applyBorder="1" applyAlignment="1">
      <alignment horizontal="center" vertical="center"/>
      <protection/>
    </xf>
    <xf numFmtId="2" fontId="4" fillId="6" borderId="14" xfId="48" applyNumberFormat="1" applyFont="1" applyFill="1" applyBorder="1" applyAlignment="1">
      <alignment horizontal="right" vertical="center" wrapText="1"/>
      <protection/>
    </xf>
    <xf numFmtId="2" fontId="4" fillId="6" borderId="13" xfId="48" applyNumberFormat="1" applyFont="1" applyFill="1" applyBorder="1" applyAlignment="1">
      <alignment horizontal="right" vertical="center" wrapText="1"/>
      <protection/>
    </xf>
    <xf numFmtId="3" fontId="45" fillId="0" borderId="23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49" fontId="5" fillId="33" borderId="30" xfId="0" applyNumberFormat="1" applyFont="1" applyFill="1" applyBorder="1" applyAlignment="1">
      <alignment horizontal="center" vertical="center"/>
    </xf>
    <xf numFmtId="3" fontId="45" fillId="0" borderId="31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/>
    </xf>
    <xf numFmtId="0" fontId="3" fillId="33" borderId="23" xfId="48" applyFont="1" applyFill="1" applyBorder="1" applyAlignment="1">
      <alignment horizontal="center" vertical="center" wrapText="1"/>
      <protection/>
    </xf>
    <xf numFmtId="0" fontId="3" fillId="33" borderId="15" xfId="48" applyFont="1" applyFill="1" applyBorder="1" applyAlignment="1">
      <alignment horizontal="center" vertical="center" wrapText="1"/>
      <protection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6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7" xfId="48" applyFont="1" applyFill="1" applyBorder="1" applyAlignment="1">
      <alignment horizontal="center" vertical="center"/>
      <protection/>
    </xf>
    <xf numFmtId="0" fontId="3" fillId="33" borderId="35" xfId="48" applyFont="1" applyFill="1" applyBorder="1" applyAlignment="1">
      <alignment horizontal="center" vertical="center"/>
      <protection/>
    </xf>
    <xf numFmtId="0" fontId="3" fillId="33" borderId="25" xfId="48" applyFont="1" applyFill="1" applyBorder="1" applyAlignment="1">
      <alignment horizontal="center" vertical="center"/>
      <protection/>
    </xf>
    <xf numFmtId="0" fontId="45" fillId="6" borderId="34" xfId="0" applyFont="1" applyFill="1" applyBorder="1" applyAlignment="1">
      <alignment/>
    </xf>
    <xf numFmtId="3" fontId="45" fillId="6" borderId="32" xfId="0" applyNumberFormat="1" applyFont="1" applyFill="1" applyBorder="1" applyAlignment="1">
      <alignment/>
    </xf>
    <xf numFmtId="3" fontId="45" fillId="6" borderId="16" xfId="0" applyNumberFormat="1" applyFont="1" applyFill="1" applyBorder="1" applyAlignment="1">
      <alignment/>
    </xf>
    <xf numFmtId="0" fontId="45" fillId="6" borderId="36" xfId="0" applyFont="1" applyFill="1" applyBorder="1" applyAlignment="1">
      <alignment/>
    </xf>
    <xf numFmtId="3" fontId="45" fillId="6" borderId="37" xfId="0" applyNumberFormat="1" applyFont="1" applyFill="1" applyBorder="1" applyAlignment="1">
      <alignment/>
    </xf>
    <xf numFmtId="3" fontId="45" fillId="6" borderId="38" xfId="0" applyNumberFormat="1" applyFont="1" applyFill="1" applyBorder="1" applyAlignment="1">
      <alignment/>
    </xf>
    <xf numFmtId="0" fontId="46" fillId="9" borderId="39" xfId="0" applyFont="1" applyFill="1" applyBorder="1" applyAlignment="1">
      <alignment/>
    </xf>
    <xf numFmtId="3" fontId="46" fillId="9" borderId="40" xfId="0" applyNumberFormat="1" applyFont="1" applyFill="1" applyBorder="1" applyAlignment="1">
      <alignment/>
    </xf>
    <xf numFmtId="3" fontId="46" fillId="9" borderId="41" xfId="0" applyNumberFormat="1" applyFont="1" applyFill="1" applyBorder="1" applyAlignment="1">
      <alignment/>
    </xf>
    <xf numFmtId="0" fontId="3" fillId="33" borderId="42" xfId="48" applyFont="1" applyFill="1" applyBorder="1" applyAlignment="1">
      <alignment horizontal="center" vertical="center"/>
      <protection/>
    </xf>
    <xf numFmtId="0" fontId="3" fillId="33" borderId="43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SheetLayoutView="100" zoomScalePageLayoutView="0" workbookViewId="0" topLeftCell="A1">
      <selection activeCell="A1" sqref="A1:A2"/>
    </sheetView>
  </sheetViews>
  <sheetFormatPr defaultColWidth="11.421875" defaultRowHeight="15"/>
  <cols>
    <col min="1" max="1" width="32.8515625" style="4" customWidth="1"/>
    <col min="2" max="2" width="27.421875" style="4" customWidth="1"/>
    <col min="3" max="4" width="12.421875" style="5" customWidth="1"/>
    <col min="5" max="5" width="12.421875" style="4" customWidth="1"/>
    <col min="6" max="6" width="12.421875" style="5" customWidth="1"/>
    <col min="7" max="7" width="12.421875" style="4" customWidth="1"/>
    <col min="8" max="9" width="12.57421875" style="1" customWidth="1"/>
    <col min="10" max="249" width="9.140625" style="1" customWidth="1"/>
    <col min="250" max="250" width="32.8515625" style="1" customWidth="1"/>
    <col min="251" max="251" width="27.421875" style="1" customWidth="1"/>
    <col min="252" max="252" width="11.140625" style="1" customWidth="1"/>
    <col min="253" max="16384" width="11.421875" style="1" customWidth="1"/>
  </cols>
  <sheetData>
    <row r="1" spans="1:9" ht="23.25" customHeight="1">
      <c r="A1" s="45" t="s">
        <v>0</v>
      </c>
      <c r="B1" s="46" t="s">
        <v>1</v>
      </c>
      <c r="C1" s="47" t="s">
        <v>2</v>
      </c>
      <c r="D1" s="47" t="s">
        <v>3</v>
      </c>
      <c r="E1" s="47" t="s">
        <v>4</v>
      </c>
      <c r="F1" s="48" t="s">
        <v>21</v>
      </c>
      <c r="G1" s="49" t="s">
        <v>22</v>
      </c>
      <c r="H1" s="28" t="s">
        <v>26</v>
      </c>
      <c r="I1" s="34"/>
    </row>
    <row r="2" spans="1:9" ht="23.25" customHeight="1">
      <c r="A2" s="50"/>
      <c r="B2" s="51"/>
      <c r="C2" s="52"/>
      <c r="D2" s="52"/>
      <c r="E2" s="52"/>
      <c r="F2" s="53" t="s">
        <v>5</v>
      </c>
      <c r="G2" s="54"/>
      <c r="H2" s="29" t="s">
        <v>5</v>
      </c>
      <c r="I2" s="44" t="s">
        <v>27</v>
      </c>
    </row>
    <row r="3" spans="1:9" ht="22.5" customHeight="1">
      <c r="A3" s="37" t="s">
        <v>6</v>
      </c>
      <c r="B3" s="38" t="s">
        <v>7</v>
      </c>
      <c r="C3" s="39">
        <v>9520001368</v>
      </c>
      <c r="D3" s="40">
        <v>9300064301</v>
      </c>
      <c r="E3" s="38">
        <v>3578277</v>
      </c>
      <c r="F3" s="12">
        <v>570</v>
      </c>
      <c r="G3" s="41" t="s">
        <v>23</v>
      </c>
      <c r="H3" s="42">
        <v>64257</v>
      </c>
      <c r="I3" s="43">
        <v>681372</v>
      </c>
    </row>
    <row r="4" spans="1:9" ht="22.5" customHeight="1">
      <c r="A4" s="15"/>
      <c r="B4" s="2" t="s">
        <v>8</v>
      </c>
      <c r="C4" s="16"/>
      <c r="D4" s="3">
        <v>9300001708</v>
      </c>
      <c r="E4" s="2">
        <v>5000540</v>
      </c>
      <c r="F4" s="10">
        <v>35</v>
      </c>
      <c r="G4" s="30" t="s">
        <v>23</v>
      </c>
      <c r="H4" s="21">
        <v>169990</v>
      </c>
      <c r="I4" s="24">
        <v>1799381</v>
      </c>
    </row>
    <row r="5" spans="1:9" ht="22.5" customHeight="1">
      <c r="A5" s="55" t="s">
        <v>9</v>
      </c>
      <c r="B5" s="56" t="s">
        <v>10</v>
      </c>
      <c r="C5" s="57">
        <v>9520001004</v>
      </c>
      <c r="D5" s="57">
        <v>9300001222</v>
      </c>
      <c r="E5" s="56">
        <v>4009647</v>
      </c>
      <c r="F5" s="58">
        <v>960.52</v>
      </c>
      <c r="G5" s="59" t="s">
        <v>23</v>
      </c>
      <c r="H5" s="20">
        <v>88390</v>
      </c>
      <c r="I5" s="23">
        <v>933900</v>
      </c>
    </row>
    <row r="6" spans="1:9" ht="22.5" customHeight="1">
      <c r="A6" s="17" t="s">
        <v>11</v>
      </c>
      <c r="B6" s="18" t="s">
        <v>12</v>
      </c>
      <c r="C6" s="16">
        <v>9520000996</v>
      </c>
      <c r="D6" s="16">
        <v>9300001204</v>
      </c>
      <c r="E6" s="6">
        <v>5873</v>
      </c>
      <c r="F6" s="10">
        <v>937</v>
      </c>
      <c r="G6" s="30" t="s">
        <v>23</v>
      </c>
      <c r="H6" s="35">
        <v>147352</v>
      </c>
      <c r="I6" s="26">
        <v>1561893</v>
      </c>
    </row>
    <row r="7" spans="1:9" ht="22.5" customHeight="1">
      <c r="A7" s="17"/>
      <c r="B7" s="18"/>
      <c r="C7" s="16"/>
      <c r="D7" s="16"/>
      <c r="E7" s="6">
        <v>5017214</v>
      </c>
      <c r="F7" s="10">
        <v>286</v>
      </c>
      <c r="G7" s="30" t="s">
        <v>23</v>
      </c>
      <c r="H7" s="35"/>
      <c r="I7" s="26"/>
    </row>
    <row r="8" spans="1:9" ht="22.5" customHeight="1">
      <c r="A8" s="60" t="s">
        <v>13</v>
      </c>
      <c r="B8" s="61" t="s">
        <v>14</v>
      </c>
      <c r="C8" s="62">
        <v>9520001857</v>
      </c>
      <c r="D8" s="62">
        <v>9300002416</v>
      </c>
      <c r="E8" s="56">
        <v>354010</v>
      </c>
      <c r="F8" s="63">
        <v>1118.82</v>
      </c>
      <c r="G8" s="64" t="s">
        <v>23</v>
      </c>
      <c r="H8" s="22">
        <v>134407.79</v>
      </c>
      <c r="I8" s="25">
        <v>1421631.4</v>
      </c>
    </row>
    <row r="9" spans="1:9" ht="22.5" customHeight="1">
      <c r="A9" s="60"/>
      <c r="B9" s="61"/>
      <c r="C9" s="62"/>
      <c r="D9" s="62"/>
      <c r="E9" s="56">
        <v>4588</v>
      </c>
      <c r="F9" s="65"/>
      <c r="G9" s="66"/>
      <c r="H9" s="22"/>
      <c r="I9" s="25"/>
    </row>
    <row r="10" spans="1:9" ht="22.5" customHeight="1">
      <c r="A10" s="60"/>
      <c r="B10" s="61"/>
      <c r="C10" s="62"/>
      <c r="D10" s="62"/>
      <c r="E10" s="56">
        <v>5499723</v>
      </c>
      <c r="F10" s="65"/>
      <c r="G10" s="66"/>
      <c r="H10" s="22"/>
      <c r="I10" s="25"/>
    </row>
    <row r="11" spans="1:9" ht="22.5" customHeight="1">
      <c r="A11" s="60"/>
      <c r="B11" s="61"/>
      <c r="C11" s="62"/>
      <c r="D11" s="62"/>
      <c r="E11" s="56">
        <v>5094919</v>
      </c>
      <c r="F11" s="67"/>
      <c r="G11" s="68"/>
      <c r="H11" s="22"/>
      <c r="I11" s="25"/>
    </row>
    <row r="12" spans="1:9" ht="22.5" customHeight="1">
      <c r="A12" s="17" t="s">
        <v>15</v>
      </c>
      <c r="B12" s="19" t="s">
        <v>16</v>
      </c>
      <c r="C12" s="16">
        <v>9520001002</v>
      </c>
      <c r="D12" s="16">
        <v>9300001214</v>
      </c>
      <c r="E12" s="6">
        <v>354900</v>
      </c>
      <c r="F12" s="13">
        <v>924.96</v>
      </c>
      <c r="G12" s="31" t="s">
        <v>23</v>
      </c>
      <c r="H12" s="35">
        <v>85312</v>
      </c>
      <c r="I12" s="26">
        <v>901292</v>
      </c>
    </row>
    <row r="13" spans="1:9" ht="22.5" customHeight="1">
      <c r="A13" s="17"/>
      <c r="B13" s="19"/>
      <c r="C13" s="16"/>
      <c r="D13" s="16"/>
      <c r="E13" s="6">
        <v>265372</v>
      </c>
      <c r="F13" s="14"/>
      <c r="G13" s="32"/>
      <c r="H13" s="35"/>
      <c r="I13" s="26"/>
    </row>
    <row r="14" spans="1:9" ht="22.5" customHeight="1">
      <c r="A14" s="60" t="s">
        <v>17</v>
      </c>
      <c r="B14" s="56" t="s">
        <v>18</v>
      </c>
      <c r="C14" s="62">
        <v>9520000990</v>
      </c>
      <c r="D14" s="62">
        <v>9300001196</v>
      </c>
      <c r="E14" s="56">
        <v>3512800</v>
      </c>
      <c r="F14" s="69">
        <v>728.65</v>
      </c>
      <c r="G14" s="64" t="s">
        <v>23</v>
      </c>
      <c r="H14" s="22">
        <f>60935+19827</f>
        <v>80762</v>
      </c>
      <c r="I14" s="25">
        <f>643629+211138</f>
        <v>854767</v>
      </c>
    </row>
    <row r="15" spans="1:9" ht="22.5" customHeight="1">
      <c r="A15" s="60"/>
      <c r="B15" s="56" t="s">
        <v>18</v>
      </c>
      <c r="C15" s="62"/>
      <c r="D15" s="62"/>
      <c r="E15" s="56">
        <v>4133456</v>
      </c>
      <c r="F15" s="70"/>
      <c r="G15" s="68"/>
      <c r="H15" s="22"/>
      <c r="I15" s="25"/>
    </row>
    <row r="16" spans="1:9" ht="22.5" customHeight="1">
      <c r="A16" s="7" t="s">
        <v>19</v>
      </c>
      <c r="B16" s="8" t="s">
        <v>20</v>
      </c>
      <c r="C16" s="9">
        <v>9520000695</v>
      </c>
      <c r="D16" s="9">
        <v>9300007999</v>
      </c>
      <c r="E16" s="8">
        <v>4000366</v>
      </c>
      <c r="F16" s="11" t="s">
        <v>24</v>
      </c>
      <c r="G16" s="33" t="s">
        <v>25</v>
      </c>
      <c r="H16" s="36">
        <v>726932</v>
      </c>
      <c r="I16" s="27">
        <v>7708831</v>
      </c>
    </row>
    <row r="17" ht="15" customHeight="1"/>
  </sheetData>
  <sheetProtection/>
  <mergeCells count="38">
    <mergeCell ref="H1:I1"/>
    <mergeCell ref="H6:H7"/>
    <mergeCell ref="H8:H11"/>
    <mergeCell ref="H12:H13"/>
    <mergeCell ref="H14:H15"/>
    <mergeCell ref="I14:I15"/>
    <mergeCell ref="I12:I13"/>
    <mergeCell ref="I8:I11"/>
    <mergeCell ref="I6:I7"/>
    <mergeCell ref="A14:A15"/>
    <mergeCell ref="C14:C15"/>
    <mergeCell ref="D14:D15"/>
    <mergeCell ref="A12:A13"/>
    <mergeCell ref="B12:B13"/>
    <mergeCell ref="C12:C13"/>
    <mergeCell ref="D12:D13"/>
    <mergeCell ref="C8:C11"/>
    <mergeCell ref="D8:D11"/>
    <mergeCell ref="A6:A7"/>
    <mergeCell ref="B6:B7"/>
    <mergeCell ref="C6:C7"/>
    <mergeCell ref="D6:D7"/>
    <mergeCell ref="A8:A11"/>
    <mergeCell ref="B8:B11"/>
    <mergeCell ref="A3:A4"/>
    <mergeCell ref="C3:C4"/>
    <mergeCell ref="A1:A2"/>
    <mergeCell ref="B1:B2"/>
    <mergeCell ref="C1:C2"/>
    <mergeCell ref="D1:D2"/>
    <mergeCell ref="F14:F15"/>
    <mergeCell ref="G14:G15"/>
    <mergeCell ref="G12:G13"/>
    <mergeCell ref="E1:E2"/>
    <mergeCell ref="F8:F11"/>
    <mergeCell ref="G8:G11"/>
    <mergeCell ref="F12:F13"/>
    <mergeCell ref="G1:G2"/>
  </mergeCells>
  <printOptions/>
  <pageMargins left="0" right="0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C2"/>
    </sheetView>
  </sheetViews>
  <sheetFormatPr defaultColWidth="9.140625" defaultRowHeight="15"/>
  <sheetData>
    <row r="1" spans="1:15" ht="15" customHeight="1">
      <c r="A1" s="45" t="s">
        <v>6</v>
      </c>
      <c r="B1" s="47"/>
      <c r="C1" s="78"/>
      <c r="E1" s="45" t="s">
        <v>6</v>
      </c>
      <c r="F1" s="47"/>
      <c r="G1" s="78"/>
      <c r="I1" s="45" t="s">
        <v>9</v>
      </c>
      <c r="J1" s="47"/>
      <c r="K1" s="78"/>
      <c r="M1" s="45" t="s">
        <v>11</v>
      </c>
      <c r="N1" s="47"/>
      <c r="O1" s="78"/>
    </row>
    <row r="2" spans="1:15" ht="15">
      <c r="A2" s="79"/>
      <c r="B2" s="80"/>
      <c r="C2" s="81"/>
      <c r="E2" s="79"/>
      <c r="F2" s="80"/>
      <c r="G2" s="81"/>
      <c r="I2" s="79"/>
      <c r="J2" s="80"/>
      <c r="K2" s="81"/>
      <c r="M2" s="79"/>
      <c r="N2" s="80"/>
      <c r="O2" s="81"/>
    </row>
    <row r="3" spans="1:15" ht="15">
      <c r="A3" s="82" t="s">
        <v>7</v>
      </c>
      <c r="B3" s="51"/>
      <c r="C3" s="83"/>
      <c r="E3" s="82" t="s">
        <v>8</v>
      </c>
      <c r="F3" s="51"/>
      <c r="G3" s="83"/>
      <c r="I3" s="82" t="s">
        <v>10</v>
      </c>
      <c r="J3" s="51"/>
      <c r="K3" s="83"/>
      <c r="M3" s="82" t="s">
        <v>12</v>
      </c>
      <c r="N3" s="51"/>
      <c r="O3" s="83"/>
    </row>
    <row r="4" spans="1:15" ht="15">
      <c r="A4" s="95" t="s">
        <v>42</v>
      </c>
      <c r="B4" s="84" t="s">
        <v>40</v>
      </c>
      <c r="C4" s="85"/>
      <c r="E4" s="95" t="s">
        <v>42</v>
      </c>
      <c r="F4" s="84" t="s">
        <v>40</v>
      </c>
      <c r="G4" s="85"/>
      <c r="I4" s="95" t="s">
        <v>42</v>
      </c>
      <c r="J4" s="84" t="s">
        <v>40</v>
      </c>
      <c r="K4" s="85"/>
      <c r="M4" s="95" t="s">
        <v>42</v>
      </c>
      <c r="N4" s="84" t="s">
        <v>40</v>
      </c>
      <c r="O4" s="85"/>
    </row>
    <row r="5" spans="1:15" ht="15">
      <c r="A5" s="96"/>
      <c r="B5" s="73" t="s">
        <v>5</v>
      </c>
      <c r="C5" s="44" t="s">
        <v>27</v>
      </c>
      <c r="E5" s="96"/>
      <c r="F5" s="73" t="s">
        <v>5</v>
      </c>
      <c r="G5" s="44" t="s">
        <v>27</v>
      </c>
      <c r="I5" s="96"/>
      <c r="J5" s="73" t="s">
        <v>5</v>
      </c>
      <c r="K5" s="44" t="s">
        <v>27</v>
      </c>
      <c r="M5" s="96"/>
      <c r="N5" s="73" t="s">
        <v>5</v>
      </c>
      <c r="O5" s="44" t="s">
        <v>27</v>
      </c>
    </row>
    <row r="6" spans="1:15" ht="15">
      <c r="A6" s="76" t="s">
        <v>28</v>
      </c>
      <c r="B6" s="74">
        <f>kapacita!$H$3*(16.72/100)</f>
        <v>10743.7704</v>
      </c>
      <c r="C6" s="71">
        <f>kapacita!$I$3*(16.72/100)</f>
        <v>113925.39839999999</v>
      </c>
      <c r="E6" s="76" t="s">
        <v>28</v>
      </c>
      <c r="F6" s="74">
        <f>kapacita!$H$4*(16.72/100)</f>
        <v>28422.327999999998</v>
      </c>
      <c r="G6" s="71">
        <f>kapacita!$I$4*(16.72/100)</f>
        <v>300856.5032</v>
      </c>
      <c r="I6" s="76" t="s">
        <v>28</v>
      </c>
      <c r="J6" s="74">
        <f>kapacita!$H$5*(16.72/100)</f>
        <v>14778.807999999999</v>
      </c>
      <c r="K6" s="71">
        <f>kapacita!$I$5*(16.72/100)</f>
        <v>156148.08</v>
      </c>
      <c r="M6" s="76" t="s">
        <v>28</v>
      </c>
      <c r="N6" s="74">
        <f>kapacita!$H$6*(13.1/100)</f>
        <v>19303.112</v>
      </c>
      <c r="O6" s="71">
        <f>kapacita!$I$6*(13.1/100)</f>
        <v>204607.983</v>
      </c>
    </row>
    <row r="7" spans="1:15" ht="15">
      <c r="A7" s="86" t="s">
        <v>29</v>
      </c>
      <c r="B7" s="87">
        <f>kapacita!$H$3*(14.29/100)</f>
        <v>9182.3253</v>
      </c>
      <c r="C7" s="88">
        <f>kapacita!$I$3*(14.29/100)</f>
        <v>97368.0588</v>
      </c>
      <c r="E7" s="86" t="s">
        <v>29</v>
      </c>
      <c r="F7" s="87">
        <f>kapacita!$H$4*(14.29/100)</f>
        <v>24291.571</v>
      </c>
      <c r="G7" s="88">
        <f>kapacita!$I$4*(14.29/100)</f>
        <v>257131.5449</v>
      </c>
      <c r="I7" s="86" t="s">
        <v>29</v>
      </c>
      <c r="J7" s="87">
        <f>kapacita!$H$5*(14.29/100)</f>
        <v>12630.931</v>
      </c>
      <c r="K7" s="88">
        <f>kapacita!$I$5*(14.29/100)</f>
        <v>133454.31</v>
      </c>
      <c r="M7" s="86" t="s">
        <v>29</v>
      </c>
      <c r="N7" s="87">
        <f>kapacita!$H$6*(11.9/100)</f>
        <v>17534.888000000003</v>
      </c>
      <c r="O7" s="88">
        <f>kapacita!$I$6*(11.9/100)</f>
        <v>185865.26700000002</v>
      </c>
    </row>
    <row r="8" spans="1:15" ht="15">
      <c r="A8" s="77" t="s">
        <v>30</v>
      </c>
      <c r="B8" s="75">
        <f>kapacita!$H$3*(11.02/100)</f>
        <v>7081.121399999999</v>
      </c>
      <c r="C8" s="72">
        <f>kapacita!$I$3*(11.02/100)</f>
        <v>75087.1944</v>
      </c>
      <c r="E8" s="77" t="s">
        <v>30</v>
      </c>
      <c r="F8" s="75">
        <f>kapacita!$H$4*(11.02/100)</f>
        <v>18732.897999999997</v>
      </c>
      <c r="G8" s="72">
        <f>kapacita!$I$4*(11.02/100)</f>
        <v>198291.78619999997</v>
      </c>
      <c r="I8" s="77" t="s">
        <v>30</v>
      </c>
      <c r="J8" s="75">
        <f>kapacita!$H$5*(11.02/100)</f>
        <v>9740.578</v>
      </c>
      <c r="K8" s="72">
        <f>kapacita!$I$5*(11.02/100)</f>
        <v>102915.78</v>
      </c>
      <c r="M8" s="77" t="s">
        <v>30</v>
      </c>
      <c r="N8" s="75">
        <f>kapacita!$H$6*(10.01/100)</f>
        <v>14749.9352</v>
      </c>
      <c r="O8" s="72">
        <f>kapacita!$I$6*(10.01/100)</f>
        <v>156345.4893</v>
      </c>
    </row>
    <row r="9" spans="1:15" ht="15">
      <c r="A9" s="86" t="s">
        <v>31</v>
      </c>
      <c r="B9" s="87">
        <f>kapacita!$H$3*(7.94/100)</f>
        <v>5102.0058</v>
      </c>
      <c r="C9" s="88">
        <f>kapacita!$I$3*(7.94/100)</f>
        <v>54100.936799999996</v>
      </c>
      <c r="E9" s="86" t="s">
        <v>31</v>
      </c>
      <c r="F9" s="87">
        <f>kapacita!$H$4*(7.94/100)</f>
        <v>13497.206</v>
      </c>
      <c r="G9" s="88">
        <f>kapacita!$I$4*(7.94/100)</f>
        <v>142870.85139999999</v>
      </c>
      <c r="I9" s="86" t="s">
        <v>31</v>
      </c>
      <c r="J9" s="87">
        <f>kapacita!$H$5*(7.94/100)</f>
        <v>7018.166</v>
      </c>
      <c r="K9" s="88">
        <f>kapacita!$I$5*(7.94/100)</f>
        <v>74151.66</v>
      </c>
      <c r="M9" s="86" t="s">
        <v>31</v>
      </c>
      <c r="N9" s="87">
        <f>kapacita!$H$6*(7.94/100)</f>
        <v>11699.7488</v>
      </c>
      <c r="O9" s="88">
        <f>kapacita!$I$6*(7.94/100)</f>
        <v>124014.3042</v>
      </c>
    </row>
    <row r="10" spans="1:15" ht="15">
      <c r="A10" s="77" t="s">
        <v>32</v>
      </c>
      <c r="B10" s="75">
        <f>kapacita!$H$3*(3.84/100)</f>
        <v>2467.4687999999996</v>
      </c>
      <c r="C10" s="72">
        <f>kapacita!$I$3*(3.84/100)</f>
        <v>26164.6848</v>
      </c>
      <c r="E10" s="77" t="s">
        <v>32</v>
      </c>
      <c r="F10" s="75">
        <f>kapacita!$H$4*(3.84/100)</f>
        <v>6527.615999999999</v>
      </c>
      <c r="G10" s="72">
        <f>kapacita!$I$4*(3.84/100)</f>
        <v>69096.2304</v>
      </c>
      <c r="I10" s="77" t="s">
        <v>32</v>
      </c>
      <c r="J10" s="75">
        <f>kapacita!$H$5*(3.84/100)</f>
        <v>3394.1759999999995</v>
      </c>
      <c r="K10" s="72">
        <f>kapacita!$I$5*(3.84/100)</f>
        <v>35861.759999999995</v>
      </c>
      <c r="M10" s="77" t="s">
        <v>32</v>
      </c>
      <c r="N10" s="75">
        <f>kapacita!$H$6*(5.35/100)</f>
        <v>7883.331999999999</v>
      </c>
      <c r="O10" s="72">
        <f>kapacita!$I$6*(5.35/100)</f>
        <v>83561.2755</v>
      </c>
    </row>
    <row r="11" spans="1:15" ht="15">
      <c r="A11" s="86" t="s">
        <v>33</v>
      </c>
      <c r="B11" s="87">
        <f>kapacita!$H$3*(1.83/100)</f>
        <v>1175.9031</v>
      </c>
      <c r="C11" s="88">
        <f>kapacita!$I$3*(1.83/100)</f>
        <v>12469.1076</v>
      </c>
      <c r="E11" s="86" t="s">
        <v>33</v>
      </c>
      <c r="F11" s="87">
        <f>kapacita!$H$4*(1.83/100)</f>
        <v>3110.817</v>
      </c>
      <c r="G11" s="88">
        <f>kapacita!$I$4*(1.83/100)</f>
        <v>32928.6723</v>
      </c>
      <c r="I11" s="86" t="s">
        <v>33</v>
      </c>
      <c r="J11" s="87">
        <f>kapacita!$H$5*(1.83/100)</f>
        <v>1617.537</v>
      </c>
      <c r="K11" s="88">
        <f>kapacita!$I$5*(1.83/100)</f>
        <v>17090.37</v>
      </c>
      <c r="M11" s="86" t="s">
        <v>33</v>
      </c>
      <c r="N11" s="87">
        <f>kapacita!$H$6*(4.23/100)</f>
        <v>6232.989600000001</v>
      </c>
      <c r="O11" s="88">
        <f>kapacita!$I$6*(4.23/100)</f>
        <v>66068.0739</v>
      </c>
    </row>
    <row r="12" spans="1:15" ht="15">
      <c r="A12" s="77" t="s">
        <v>34</v>
      </c>
      <c r="B12" s="75">
        <f>kapacita!$H$3*(1.62/100)</f>
        <v>1040.9634</v>
      </c>
      <c r="C12" s="72">
        <f>kapacita!$I$3*(1.62/100)</f>
        <v>11038.226400000001</v>
      </c>
      <c r="E12" s="77" t="s">
        <v>34</v>
      </c>
      <c r="F12" s="75">
        <f>kapacita!$H$4*(1.62/100)</f>
        <v>2753.8380000000006</v>
      </c>
      <c r="G12" s="72">
        <f>kapacita!$I$4*(1.62/100)</f>
        <v>29149.972200000004</v>
      </c>
      <c r="I12" s="77" t="s">
        <v>34</v>
      </c>
      <c r="J12" s="75">
        <f>kapacita!$H$5*(1.62/100)</f>
        <v>1431.9180000000001</v>
      </c>
      <c r="K12" s="72">
        <f>kapacita!$I$5*(1.62/100)</f>
        <v>15129.180000000002</v>
      </c>
      <c r="M12" s="77" t="s">
        <v>34</v>
      </c>
      <c r="N12" s="75">
        <f>kapacita!$H$6*(4.02/100)</f>
        <v>5923.550399999999</v>
      </c>
      <c r="O12" s="72">
        <f>kapacita!$I$6*(4.02/100)</f>
        <v>62788.09859999999</v>
      </c>
    </row>
    <row r="13" spans="1:15" ht="15">
      <c r="A13" s="86" t="s">
        <v>35</v>
      </c>
      <c r="B13" s="87">
        <f>kapacita!$H$3*(1.62/100)</f>
        <v>1040.9634</v>
      </c>
      <c r="C13" s="88">
        <f>kapacita!$I$3*(1.62/100)</f>
        <v>11038.226400000001</v>
      </c>
      <c r="E13" s="86" t="s">
        <v>35</v>
      </c>
      <c r="F13" s="87">
        <f>kapacita!$H$4*(1.62/100)</f>
        <v>2753.8380000000006</v>
      </c>
      <c r="G13" s="88">
        <f>kapacita!$I$4*(1.62/100)</f>
        <v>29149.972200000004</v>
      </c>
      <c r="I13" s="86" t="s">
        <v>35</v>
      </c>
      <c r="J13" s="87">
        <f>kapacita!$H$5*(1.62/100)</f>
        <v>1431.9180000000001</v>
      </c>
      <c r="K13" s="88">
        <f>kapacita!$I$5*(1.62/100)</f>
        <v>15129.180000000002</v>
      </c>
      <c r="M13" s="86" t="s">
        <v>35</v>
      </c>
      <c r="N13" s="87">
        <f>kapacita!$H$6*(3.97/100)</f>
        <v>5849.8744</v>
      </c>
      <c r="O13" s="88">
        <f>kapacita!$I$6*(3.97/100)</f>
        <v>62007.1521</v>
      </c>
    </row>
    <row r="14" spans="1:15" ht="15">
      <c r="A14" s="77" t="s">
        <v>36</v>
      </c>
      <c r="B14" s="75">
        <f>kapacita!$H$3*(5.86/100)</f>
        <v>3765.4602000000004</v>
      </c>
      <c r="C14" s="72">
        <f>kapacita!$I$3*(5.86/100)</f>
        <v>39928.39920000001</v>
      </c>
      <c r="E14" s="77" t="s">
        <v>36</v>
      </c>
      <c r="F14" s="75">
        <f>kapacita!$H$4*(5.86/100)</f>
        <v>9961.414</v>
      </c>
      <c r="G14" s="72">
        <f>kapacita!$I$4*(5.86/100)</f>
        <v>105443.72660000001</v>
      </c>
      <c r="I14" s="77" t="s">
        <v>36</v>
      </c>
      <c r="J14" s="75">
        <f>kapacita!$H$5*(5.86/100)</f>
        <v>5179.654</v>
      </c>
      <c r="K14" s="72">
        <f>kapacita!$I$5*(5.86/100)</f>
        <v>54726.54000000001</v>
      </c>
      <c r="M14" s="77" t="s">
        <v>36</v>
      </c>
      <c r="N14" s="75">
        <f>kapacita!$H$6*(5.86/100)</f>
        <v>8634.827200000002</v>
      </c>
      <c r="O14" s="72">
        <f>kapacita!$I$6*(5.86/100)</f>
        <v>91526.92980000001</v>
      </c>
    </row>
    <row r="15" spans="1:15" ht="15">
      <c r="A15" s="86" t="s">
        <v>37</v>
      </c>
      <c r="B15" s="87">
        <f>kapacita!$H$3*(6.83/100)</f>
        <v>4388.7531</v>
      </c>
      <c r="C15" s="88">
        <f>kapacita!$I$3*(6.83/100)</f>
        <v>46537.7076</v>
      </c>
      <c r="E15" s="86" t="s">
        <v>37</v>
      </c>
      <c r="F15" s="87">
        <f>kapacita!$H$4*(6.83/100)</f>
        <v>11610.317</v>
      </c>
      <c r="G15" s="88">
        <f>kapacita!$I$4*(6.83/100)</f>
        <v>122897.7223</v>
      </c>
      <c r="I15" s="86" t="s">
        <v>37</v>
      </c>
      <c r="J15" s="87">
        <f>kapacita!$H$5*(6.83/100)</f>
        <v>6037.037</v>
      </c>
      <c r="K15" s="88">
        <f>kapacita!$I$5*(6.83/100)</f>
        <v>63785.37</v>
      </c>
      <c r="M15" s="86" t="s">
        <v>37</v>
      </c>
      <c r="N15" s="87">
        <f>kapacita!$H$6*(7.23/100)</f>
        <v>10653.5496</v>
      </c>
      <c r="O15" s="88">
        <f>kapacita!$I$6*(7.23/100)</f>
        <v>112924.86390000001</v>
      </c>
    </row>
    <row r="16" spans="1:15" ht="15">
      <c r="A16" s="77" t="s">
        <v>38</v>
      </c>
      <c r="B16" s="75">
        <f>kapacita!$H$3*(10.5/100)</f>
        <v>6746.985</v>
      </c>
      <c r="C16" s="72">
        <f>kapacita!$I$3*(10.5/100)</f>
        <v>71544.06</v>
      </c>
      <c r="E16" s="77" t="s">
        <v>38</v>
      </c>
      <c r="F16" s="75">
        <f>kapacita!$H$4*(10.5/100)</f>
        <v>17848.95</v>
      </c>
      <c r="G16" s="72">
        <f>kapacita!$I$4*(10.5/100)</f>
        <v>188935.005</v>
      </c>
      <c r="I16" s="77" t="s">
        <v>38</v>
      </c>
      <c r="J16" s="75">
        <f>kapacita!$H$5*(10.5/100)</f>
        <v>9280.949999999999</v>
      </c>
      <c r="K16" s="72">
        <f>kapacita!$I$5*(10.5/100)</f>
        <v>98059.5</v>
      </c>
      <c r="M16" s="77" t="s">
        <v>38</v>
      </c>
      <c r="N16" s="75">
        <f>kapacita!$H$6*(11.98/100)</f>
        <v>17652.7696</v>
      </c>
      <c r="O16" s="72">
        <f>kapacita!$I$6*(11.98/100)</f>
        <v>187114.7814</v>
      </c>
    </row>
    <row r="17" spans="1:15" ht="15">
      <c r="A17" s="89" t="s">
        <v>39</v>
      </c>
      <c r="B17" s="90">
        <f>kapacita!$H$3*(17.93/100)</f>
        <v>11521.2801</v>
      </c>
      <c r="C17" s="91">
        <f>kapacita!$I$3*(17.93/100)</f>
        <v>122169.9996</v>
      </c>
      <c r="E17" s="89" t="s">
        <v>39</v>
      </c>
      <c r="F17" s="90">
        <f>kapacita!$H$4*(17.93/100)</f>
        <v>30479.207</v>
      </c>
      <c r="G17" s="91">
        <f>kapacita!$I$4*(17.93/100)</f>
        <v>322629.0133</v>
      </c>
      <c r="I17" s="89" t="s">
        <v>39</v>
      </c>
      <c r="J17" s="90">
        <f>kapacita!$H$5*(17.93/100)</f>
        <v>15848.327</v>
      </c>
      <c r="K17" s="91">
        <f>kapacita!$I$5*(17.93/100)</f>
        <v>167448.27</v>
      </c>
      <c r="M17" s="89" t="s">
        <v>39</v>
      </c>
      <c r="N17" s="90">
        <f>kapacita!$H$6*(14.41/100)</f>
        <v>21233.4232</v>
      </c>
      <c r="O17" s="91">
        <f>kapacita!$I$6*(14.41/100)</f>
        <v>225068.7813</v>
      </c>
    </row>
    <row r="18" spans="1:15" ht="15">
      <c r="A18" s="92" t="s">
        <v>41</v>
      </c>
      <c r="B18" s="93">
        <f>SUM(B6:B17)</f>
        <v>64257</v>
      </c>
      <c r="C18" s="94">
        <f>SUM(C6:C17)</f>
        <v>681372</v>
      </c>
      <c r="E18" s="92" t="s">
        <v>41</v>
      </c>
      <c r="F18" s="93">
        <f>SUM(F6:F17)</f>
        <v>169990</v>
      </c>
      <c r="G18" s="94">
        <f>SUM(G6:G17)</f>
        <v>1799380.9999999998</v>
      </c>
      <c r="I18" s="92" t="s">
        <v>41</v>
      </c>
      <c r="J18" s="93">
        <f>SUM(J6:J17)</f>
        <v>88390</v>
      </c>
      <c r="K18" s="94">
        <f>SUM(K6:K17)</f>
        <v>933900.0000000002</v>
      </c>
      <c r="M18" s="92" t="s">
        <v>41</v>
      </c>
      <c r="N18" s="93">
        <f>SUM(N6:N17)</f>
        <v>147352</v>
      </c>
      <c r="O18" s="94">
        <f>SUM(O6:O17)</f>
        <v>1561893</v>
      </c>
    </row>
    <row r="20" spans="1:15" ht="15">
      <c r="A20" s="45" t="s">
        <v>13</v>
      </c>
      <c r="B20" s="47"/>
      <c r="C20" s="78"/>
      <c r="E20" s="45" t="s">
        <v>15</v>
      </c>
      <c r="F20" s="47"/>
      <c r="G20" s="78"/>
      <c r="I20" s="45" t="s">
        <v>17</v>
      </c>
      <c r="J20" s="47"/>
      <c r="K20" s="78"/>
      <c r="M20" s="45" t="s">
        <v>19</v>
      </c>
      <c r="N20" s="47"/>
      <c r="O20" s="78"/>
    </row>
    <row r="21" spans="1:15" ht="15">
      <c r="A21" s="79"/>
      <c r="B21" s="80"/>
      <c r="C21" s="81"/>
      <c r="E21" s="79"/>
      <c r="F21" s="80"/>
      <c r="G21" s="81"/>
      <c r="I21" s="79"/>
      <c r="J21" s="80"/>
      <c r="K21" s="81"/>
      <c r="M21" s="79"/>
      <c r="N21" s="80"/>
      <c r="O21" s="81"/>
    </row>
    <row r="22" spans="1:15" ht="15">
      <c r="A22" s="82" t="s">
        <v>14</v>
      </c>
      <c r="B22" s="51"/>
      <c r="C22" s="83"/>
      <c r="E22" s="82" t="s">
        <v>16</v>
      </c>
      <c r="F22" s="51"/>
      <c r="G22" s="83"/>
      <c r="I22" s="82" t="s">
        <v>18</v>
      </c>
      <c r="J22" s="51"/>
      <c r="K22" s="83"/>
      <c r="M22" s="82" t="s">
        <v>20</v>
      </c>
      <c r="N22" s="51"/>
      <c r="O22" s="83"/>
    </row>
    <row r="23" spans="1:15" ht="15">
      <c r="A23" s="95" t="s">
        <v>42</v>
      </c>
      <c r="B23" s="84" t="s">
        <v>40</v>
      </c>
      <c r="C23" s="85"/>
      <c r="E23" s="95" t="s">
        <v>42</v>
      </c>
      <c r="F23" s="84" t="s">
        <v>40</v>
      </c>
      <c r="G23" s="85"/>
      <c r="I23" s="95" t="s">
        <v>42</v>
      </c>
      <c r="J23" s="84" t="s">
        <v>40</v>
      </c>
      <c r="K23" s="85"/>
      <c r="M23" s="95" t="s">
        <v>42</v>
      </c>
      <c r="N23" s="84" t="s">
        <v>40</v>
      </c>
      <c r="O23" s="85"/>
    </row>
    <row r="24" spans="1:15" ht="15">
      <c r="A24" s="96"/>
      <c r="B24" s="73" t="s">
        <v>5</v>
      </c>
      <c r="C24" s="44" t="s">
        <v>27</v>
      </c>
      <c r="E24" s="96"/>
      <c r="F24" s="73" t="s">
        <v>5</v>
      </c>
      <c r="G24" s="44" t="s">
        <v>27</v>
      </c>
      <c r="I24" s="96"/>
      <c r="J24" s="73" t="s">
        <v>5</v>
      </c>
      <c r="K24" s="44" t="s">
        <v>27</v>
      </c>
      <c r="M24" s="96"/>
      <c r="N24" s="73" t="s">
        <v>5</v>
      </c>
      <c r="O24" s="44" t="s">
        <v>27</v>
      </c>
    </row>
    <row r="25" spans="1:15" ht="15">
      <c r="A25" s="76" t="s">
        <v>28</v>
      </c>
      <c r="B25" s="74">
        <f>kapacita!$H$8*(16.72/100)</f>
        <v>22472.982488</v>
      </c>
      <c r="C25" s="71">
        <f>kapacita!$I$8*(16.72/100)</f>
        <v>237696.77007999996</v>
      </c>
      <c r="E25" s="76" t="s">
        <v>28</v>
      </c>
      <c r="F25" s="74">
        <f>kapacita!$H$12*(16.72/100)</f>
        <v>14264.166399999998</v>
      </c>
      <c r="G25" s="71">
        <f>kapacita!$I$12*(16.72/100)</f>
        <v>150696.0224</v>
      </c>
      <c r="I25" s="76" t="s">
        <v>28</v>
      </c>
      <c r="J25" s="74">
        <f>kapacita!$H$14*(16.72/100)</f>
        <v>13503.4064</v>
      </c>
      <c r="K25" s="71">
        <f>kapacita!$I$14*(16.72/100)</f>
        <v>142917.04239999998</v>
      </c>
      <c r="M25" s="76" t="s">
        <v>28</v>
      </c>
      <c r="N25" s="74">
        <f>kapacita!$H$16*(11.03/100)</f>
        <v>80180.5996</v>
      </c>
      <c r="O25" s="71">
        <f>kapacita!$I$16*(11.03/100)</f>
        <v>850284.0593</v>
      </c>
    </row>
    <row r="26" spans="1:15" ht="15">
      <c r="A26" s="86" t="s">
        <v>29</v>
      </c>
      <c r="B26" s="87">
        <f>kapacita!$H$8*(14.29/100)</f>
        <v>19206.873191000002</v>
      </c>
      <c r="C26" s="88">
        <f>kapacita!$I$8*(14.29/100)</f>
        <v>203151.12706</v>
      </c>
      <c r="E26" s="86" t="s">
        <v>29</v>
      </c>
      <c r="F26" s="87">
        <f>kapacita!$H$12*(14.29/100)</f>
        <v>12191.0848</v>
      </c>
      <c r="G26" s="88">
        <f>kapacita!$I$12*(14.29/100)</f>
        <v>128794.6268</v>
      </c>
      <c r="I26" s="86" t="s">
        <v>29</v>
      </c>
      <c r="J26" s="87">
        <f>kapacita!$H$14*(14.29/100)</f>
        <v>11540.8898</v>
      </c>
      <c r="K26" s="88">
        <f>kapacita!$I$14*(14.29/100)</f>
        <v>122146.2043</v>
      </c>
      <c r="M26" s="86" t="s">
        <v>29</v>
      </c>
      <c r="N26" s="87">
        <f>kapacita!$H$16*(10.35/100)</f>
        <v>75237.462</v>
      </c>
      <c r="O26" s="88">
        <f>kapacita!$I$16*(10.35/100)</f>
        <v>797864.0085</v>
      </c>
    </row>
    <row r="27" spans="1:15" ht="15">
      <c r="A27" s="77" t="s">
        <v>30</v>
      </c>
      <c r="B27" s="75">
        <f>kapacita!$H$8*(11.02/100)</f>
        <v>14811.738458</v>
      </c>
      <c r="C27" s="72">
        <f>kapacita!$I$8*(11.02/100)</f>
        <v>156663.78027999998</v>
      </c>
      <c r="E27" s="77" t="s">
        <v>30</v>
      </c>
      <c r="F27" s="75">
        <f>kapacita!$H$12*(11.02/100)</f>
        <v>9401.382399999999</v>
      </c>
      <c r="G27" s="72">
        <f>kapacita!$I$12*(11.02/100)</f>
        <v>99322.37839999999</v>
      </c>
      <c r="I27" s="77" t="s">
        <v>30</v>
      </c>
      <c r="J27" s="75">
        <f>kapacita!$H$14*(11.02/100)</f>
        <v>8899.972399999999</v>
      </c>
      <c r="K27" s="72">
        <f>kapacita!$I$14*(11.02/100)</f>
        <v>94195.3234</v>
      </c>
      <c r="M27" s="77" t="s">
        <v>30</v>
      </c>
      <c r="N27" s="75">
        <f>kapacita!$H$16*(9.72/100)</f>
        <v>70657.79040000001</v>
      </c>
      <c r="O27" s="72">
        <f>kapacita!$I$16*(9.72/100)</f>
        <v>749298.3732</v>
      </c>
    </row>
    <row r="28" spans="1:15" ht="15">
      <c r="A28" s="86" t="s">
        <v>31</v>
      </c>
      <c r="B28" s="87">
        <f>kapacita!$H$8*(7.94/100)</f>
        <v>10671.978526</v>
      </c>
      <c r="C28" s="88">
        <f>kapacita!$I$8*(7.94/100)</f>
        <v>112877.53315999999</v>
      </c>
      <c r="E28" s="86" t="s">
        <v>31</v>
      </c>
      <c r="F28" s="87">
        <f>kapacita!$H$12*(7.94/100)</f>
        <v>6773.7728</v>
      </c>
      <c r="G28" s="88">
        <f>kapacita!$I$12*(7.94/100)</f>
        <v>71562.5848</v>
      </c>
      <c r="I28" s="86" t="s">
        <v>31</v>
      </c>
      <c r="J28" s="87">
        <f>kapacita!$H$14*(7.94/100)</f>
        <v>6412.5028</v>
      </c>
      <c r="K28" s="88">
        <f>kapacita!$I$14*(7.94/100)</f>
        <v>67868.4998</v>
      </c>
      <c r="M28" s="86" t="s">
        <v>31</v>
      </c>
      <c r="N28" s="87">
        <f>kapacita!$H$16*(8.02/100)</f>
        <v>58299.94639999999</v>
      </c>
      <c r="O28" s="88">
        <f>kapacita!$I$16*(8.02/100)</f>
        <v>618248.2461999999</v>
      </c>
    </row>
    <row r="29" spans="1:15" ht="15">
      <c r="A29" s="77" t="s">
        <v>32</v>
      </c>
      <c r="B29" s="75">
        <f>kapacita!$H$8*(3.84/100)</f>
        <v>5161.259136</v>
      </c>
      <c r="C29" s="72">
        <f>kapacita!$I$8*(3.84/100)</f>
        <v>54590.64575999999</v>
      </c>
      <c r="E29" s="77" t="s">
        <v>32</v>
      </c>
      <c r="F29" s="75">
        <f>kapacita!$H$12*(3.84/100)</f>
        <v>3275.9808</v>
      </c>
      <c r="G29" s="72">
        <f>kapacita!$I$12*(3.84/100)</f>
        <v>34609.612799999995</v>
      </c>
      <c r="I29" s="77" t="s">
        <v>32</v>
      </c>
      <c r="J29" s="75">
        <f>kapacita!$H$14*(3.84/100)</f>
        <v>3101.2607999999996</v>
      </c>
      <c r="K29" s="72">
        <f>kapacita!$I$14*(3.84/100)</f>
        <v>32823.0528</v>
      </c>
      <c r="M29" s="77" t="s">
        <v>32</v>
      </c>
      <c r="N29" s="75">
        <f>kapacita!$H$16*(7.32/100)</f>
        <v>53211.4224</v>
      </c>
      <c r="O29" s="72">
        <f>kapacita!$I$16*(7.32/100)</f>
        <v>564286.4292</v>
      </c>
    </row>
    <row r="30" spans="1:15" ht="15">
      <c r="A30" s="86" t="s">
        <v>33</v>
      </c>
      <c r="B30" s="87">
        <f>kapacita!$H$8*(1.83/100)</f>
        <v>2459.662557</v>
      </c>
      <c r="C30" s="88">
        <f>kapacita!$I$8*(1.83/100)</f>
        <v>26015.85462</v>
      </c>
      <c r="E30" s="86" t="s">
        <v>33</v>
      </c>
      <c r="F30" s="87">
        <f>kapacita!$H$12*(1.83/100)</f>
        <v>1561.2096000000001</v>
      </c>
      <c r="G30" s="88">
        <f>kapacita!$I$12*(1.83/100)</f>
        <v>16493.6436</v>
      </c>
      <c r="I30" s="86" t="s">
        <v>33</v>
      </c>
      <c r="J30" s="87">
        <f>kapacita!$H$14*(1.83/100)</f>
        <v>1477.9446</v>
      </c>
      <c r="K30" s="88">
        <f>kapacita!$I$14*(1.83/100)</f>
        <v>15642.2361</v>
      </c>
      <c r="M30" s="86" t="s">
        <v>33</v>
      </c>
      <c r="N30" s="87">
        <f>kapacita!$H$16*(6.62/100)</f>
        <v>48122.8984</v>
      </c>
      <c r="O30" s="88">
        <f>kapacita!$I$16*(6.62/100)</f>
        <v>510324.6122</v>
      </c>
    </row>
    <row r="31" spans="1:15" ht="15">
      <c r="A31" s="77" t="s">
        <v>34</v>
      </c>
      <c r="B31" s="75">
        <f>kapacita!$H$8*(1.62/100)</f>
        <v>2177.4061980000006</v>
      </c>
      <c r="C31" s="72">
        <f>kapacita!$I$8*(1.62/100)</f>
        <v>23030.42868</v>
      </c>
      <c r="E31" s="77" t="s">
        <v>34</v>
      </c>
      <c r="F31" s="75">
        <f>kapacita!$H$12*(1.62/100)</f>
        <v>1382.0544000000002</v>
      </c>
      <c r="G31" s="72">
        <f>kapacita!$I$12*(1.62/100)</f>
        <v>14600.930400000003</v>
      </c>
      <c r="I31" s="77" t="s">
        <v>34</v>
      </c>
      <c r="J31" s="75">
        <f>kapacita!$H$14*(1.62/100)</f>
        <v>1308.3444000000002</v>
      </c>
      <c r="K31" s="72">
        <f>kapacita!$I$14*(1.62/100)</f>
        <v>13847.225400000003</v>
      </c>
      <c r="M31" s="77" t="s">
        <v>34</v>
      </c>
      <c r="N31" s="75">
        <f>kapacita!$H$16*(6.39/100)</f>
        <v>46450.9548</v>
      </c>
      <c r="O31" s="72">
        <f>kapacita!$I$16*(6.39/100)</f>
        <v>492594.3009</v>
      </c>
    </row>
    <row r="32" spans="1:15" ht="15">
      <c r="A32" s="86" t="s">
        <v>35</v>
      </c>
      <c r="B32" s="87">
        <f>kapacita!$H$8*(1.62/100)</f>
        <v>2177.4061980000006</v>
      </c>
      <c r="C32" s="88">
        <f>kapacita!$I$8*(1.62/100)</f>
        <v>23030.42868</v>
      </c>
      <c r="E32" s="86" t="s">
        <v>35</v>
      </c>
      <c r="F32" s="87">
        <f>kapacita!$H$12*(1.62/100)</f>
        <v>1382.0544000000002</v>
      </c>
      <c r="G32" s="88">
        <f>kapacita!$I$12*(1.62/100)</f>
        <v>14600.930400000003</v>
      </c>
      <c r="I32" s="86" t="s">
        <v>35</v>
      </c>
      <c r="J32" s="87">
        <f>kapacita!$H$14*(1.62/100)</f>
        <v>1308.3444000000002</v>
      </c>
      <c r="K32" s="88">
        <f>kapacita!$I$14*(1.62/100)</f>
        <v>13847.225400000003</v>
      </c>
      <c r="M32" s="86" t="s">
        <v>35</v>
      </c>
      <c r="N32" s="87">
        <f>kapacita!$H$16*(5.93/100)</f>
        <v>43107.0676</v>
      </c>
      <c r="O32" s="88">
        <f>kapacita!$I$16*(5.93/100)</f>
        <v>457133.67829999997</v>
      </c>
    </row>
    <row r="33" spans="1:15" ht="15">
      <c r="A33" s="77" t="s">
        <v>36</v>
      </c>
      <c r="B33" s="75">
        <f>kapacita!$H$8*(5.86/100)</f>
        <v>7876.296494000001</v>
      </c>
      <c r="C33" s="72">
        <f>kapacita!$I$8*(5.86/100)</f>
        <v>83307.60004</v>
      </c>
      <c r="E33" s="77" t="s">
        <v>36</v>
      </c>
      <c r="F33" s="75">
        <f>kapacita!$H$12*(5.86/100)</f>
        <v>4999.283200000001</v>
      </c>
      <c r="G33" s="72">
        <f>kapacita!$I$12*(5.86/100)</f>
        <v>52815.711200000005</v>
      </c>
      <c r="I33" s="77" t="s">
        <v>36</v>
      </c>
      <c r="J33" s="75">
        <f>kapacita!$H$14*(5.86/100)</f>
        <v>4732.653200000001</v>
      </c>
      <c r="K33" s="72">
        <f>kapacita!$I$14*(5.86/100)</f>
        <v>50089.34620000001</v>
      </c>
      <c r="M33" s="77" t="s">
        <v>36</v>
      </c>
      <c r="N33" s="75">
        <f>kapacita!$H$16*(6.36/100)</f>
        <v>46232.8752</v>
      </c>
      <c r="O33" s="72">
        <f>kapacita!$I$16*(6.36/100)</f>
        <v>490281.65160000004</v>
      </c>
    </row>
    <row r="34" spans="1:15" ht="15">
      <c r="A34" s="86" t="s">
        <v>37</v>
      </c>
      <c r="B34" s="87">
        <f>kapacita!$H$8*(6.83/100)</f>
        <v>9180.052057</v>
      </c>
      <c r="C34" s="88">
        <f>kapacita!$I$8*(6.83/100)</f>
        <v>97097.42461999999</v>
      </c>
      <c r="E34" s="86" t="s">
        <v>37</v>
      </c>
      <c r="F34" s="87">
        <f>kapacita!$H$12*(6.83/100)</f>
        <v>5826.8096</v>
      </c>
      <c r="G34" s="88">
        <f>kapacita!$I$12*(6.83/100)</f>
        <v>61558.2436</v>
      </c>
      <c r="I34" s="86" t="s">
        <v>37</v>
      </c>
      <c r="J34" s="87">
        <f>kapacita!$H$14*(6.83/100)</f>
        <v>5516.0446</v>
      </c>
      <c r="K34" s="88">
        <f>kapacita!$I$14*(6.83/100)</f>
        <v>58380.5861</v>
      </c>
      <c r="M34" s="86" t="s">
        <v>37</v>
      </c>
      <c r="N34" s="87">
        <f>kapacita!$H$16*(8.03/100)</f>
        <v>58372.639599999995</v>
      </c>
      <c r="O34" s="88">
        <f>kapacita!$I$16*(8.03/100)</f>
        <v>619019.1293</v>
      </c>
    </row>
    <row r="35" spans="1:15" ht="15">
      <c r="A35" s="77" t="s">
        <v>38</v>
      </c>
      <c r="B35" s="75">
        <f>kapacita!$H$8*(10.5/100)</f>
        <v>14112.81795</v>
      </c>
      <c r="C35" s="72">
        <f>kapacita!$I$8*(10.5/100)</f>
        <v>149271.297</v>
      </c>
      <c r="E35" s="77" t="s">
        <v>38</v>
      </c>
      <c r="F35" s="75">
        <f>kapacita!$H$12*(10.5/100)</f>
        <v>8957.76</v>
      </c>
      <c r="G35" s="72">
        <f>kapacita!$I$12*(10.5/100)</f>
        <v>94635.66</v>
      </c>
      <c r="I35" s="77" t="s">
        <v>38</v>
      </c>
      <c r="J35" s="75">
        <f>kapacita!$H$14*(10.5/100)</f>
        <v>8480.01</v>
      </c>
      <c r="K35" s="72">
        <f>kapacita!$I$14*(10.5/100)</f>
        <v>89750.535</v>
      </c>
      <c r="M35" s="77" t="s">
        <v>38</v>
      </c>
      <c r="N35" s="75">
        <f>kapacita!$H$16*(9.82/100)</f>
        <v>71384.72240000001</v>
      </c>
      <c r="O35" s="72">
        <f>kapacita!$I$16*(9.82/100)</f>
        <v>757007.2042</v>
      </c>
    </row>
    <row r="36" spans="1:15" ht="15">
      <c r="A36" s="89" t="s">
        <v>39</v>
      </c>
      <c r="B36" s="90">
        <f>kapacita!$H$8*(17.93/100)</f>
        <v>24099.316747</v>
      </c>
      <c r="C36" s="91">
        <f>kapacita!$I$8*(17.93/100)</f>
        <v>254898.51001999996</v>
      </c>
      <c r="E36" s="89" t="s">
        <v>39</v>
      </c>
      <c r="F36" s="90">
        <f>kapacita!$H$12*(17.93/100)</f>
        <v>15296.441599999998</v>
      </c>
      <c r="G36" s="91">
        <f>kapacita!$I$12*(17.93/100)</f>
        <v>161601.6556</v>
      </c>
      <c r="I36" s="89" t="s">
        <v>39</v>
      </c>
      <c r="J36" s="90">
        <f>kapacita!$H$14*(17.93/100)</f>
        <v>14480.6266</v>
      </c>
      <c r="K36" s="91">
        <f>kapacita!$I$14*(17.93/100)</f>
        <v>153259.7231</v>
      </c>
      <c r="M36" s="89" t="s">
        <v>39</v>
      </c>
      <c r="N36" s="90">
        <f>kapacita!$H$16*(10.41/100)</f>
        <v>75673.6212</v>
      </c>
      <c r="O36" s="91">
        <f>kapacita!$I$16*(10.41/100)</f>
        <v>802489.3071</v>
      </c>
    </row>
    <row r="37" spans="1:15" ht="15">
      <c r="A37" s="92" t="s">
        <v>41</v>
      </c>
      <c r="B37" s="93">
        <f>SUM(B25:B36)</f>
        <v>134407.78999999998</v>
      </c>
      <c r="C37" s="94">
        <f>SUM(C25:C36)</f>
        <v>1421631.4</v>
      </c>
      <c r="E37" s="92" t="s">
        <v>41</v>
      </c>
      <c r="F37" s="93">
        <f>SUM(F25:F36)</f>
        <v>85312</v>
      </c>
      <c r="G37" s="94">
        <f>SUM(G25:G36)</f>
        <v>901292</v>
      </c>
      <c r="I37" s="92" t="s">
        <v>41</v>
      </c>
      <c r="J37" s="93">
        <f>SUM(J25:J36)</f>
        <v>80762</v>
      </c>
      <c r="K37" s="94">
        <f>SUM(K25:K36)</f>
        <v>854767</v>
      </c>
      <c r="M37" s="92" t="s">
        <v>41</v>
      </c>
      <c r="N37" s="93">
        <f>SUM(N25:N36)</f>
        <v>726932</v>
      </c>
      <c r="O37" s="94">
        <f>SUM(O25:O36)</f>
        <v>7708831</v>
      </c>
    </row>
  </sheetData>
  <sheetProtection/>
  <mergeCells count="32">
    <mergeCell ref="M20:O21"/>
    <mergeCell ref="M22:O22"/>
    <mergeCell ref="M23:M24"/>
    <mergeCell ref="N23:O23"/>
    <mergeCell ref="I20:K21"/>
    <mergeCell ref="I22:K22"/>
    <mergeCell ref="J23:K23"/>
    <mergeCell ref="I23:I24"/>
    <mergeCell ref="E23:E24"/>
    <mergeCell ref="A23:A24"/>
    <mergeCell ref="A20:C21"/>
    <mergeCell ref="A22:C22"/>
    <mergeCell ref="B23:C23"/>
    <mergeCell ref="E20:G21"/>
    <mergeCell ref="E22:G22"/>
    <mergeCell ref="F23:G23"/>
    <mergeCell ref="I1:K2"/>
    <mergeCell ref="I3:K3"/>
    <mergeCell ref="J4:K4"/>
    <mergeCell ref="M1:O2"/>
    <mergeCell ref="M3:O3"/>
    <mergeCell ref="N4:O4"/>
    <mergeCell ref="M4:M5"/>
    <mergeCell ref="I4:I5"/>
    <mergeCell ref="A1:C2"/>
    <mergeCell ref="A3:C3"/>
    <mergeCell ref="B4:C4"/>
    <mergeCell ref="E1:G2"/>
    <mergeCell ref="E3:G3"/>
    <mergeCell ref="F4:G4"/>
    <mergeCell ref="E4:E5"/>
    <mergeCell ref="A4:A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</dc:creator>
  <cp:keywords/>
  <dc:description/>
  <cp:lastModifiedBy>borek</cp:lastModifiedBy>
  <cp:lastPrinted>2011-04-11T14:36:44Z</cp:lastPrinted>
  <dcterms:created xsi:type="dcterms:W3CDTF">2011-04-11T07:50:03Z</dcterms:created>
  <dcterms:modified xsi:type="dcterms:W3CDTF">2011-04-12T09:19:27Z</dcterms:modified>
  <cp:category/>
  <cp:version/>
  <cp:contentType/>
  <cp:contentStatus/>
</cp:coreProperties>
</file>